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78446\Dropbox\MULTINOM\"/>
    </mc:Choice>
  </mc:AlternateContent>
  <xr:revisionPtr revIDLastSave="0" documentId="8_{5B805DC6-B9D2-4FB7-95CD-6C981AF30390}" xr6:coauthVersionLast="47" xr6:coauthVersionMax="47" xr10:uidLastSave="{00000000-0000-0000-0000-000000000000}"/>
  <workbookProtection workbookAlgorithmName="SHA-512" workbookHashValue="vTt/Egbo/p2BM4jVxh97mrpZEWq2u7K6VJL1lBIjR6aluplhGJWdiBSurIYDYMtfTDM0zxyxi3h8onSX5tusiQ==" workbookSaltValue="7XAP/Zwp+MLfhSBfNP0cIg==" workbookSpinCount="100000" lockStructure="1"/>
  <bookViews>
    <workbookView xWindow="-108" yWindow="-108" windowWidth="23256" windowHeight="12720" firstSheet="1" activeTab="1" xr2:uid="{8E1328F7-AC4A-4E65-89C7-1ED7D7929E10}"/>
  </bookViews>
  <sheets>
    <sheet name="CATÁLOGOS" sheetId="1" state="hidden" r:id="rId1"/>
    <sheet name="CALCULADORA" sheetId="2" r:id="rId2"/>
  </sheets>
  <definedNames>
    <definedName name="CntObl">CATÁLOGOS!$AB$1</definedName>
    <definedName name="CntTrabajadores">CALCULADORA!$C$11</definedName>
    <definedName name="ImpactoClima">CALCULADORA!$F$11</definedName>
    <definedName name="IndAccidenteAnual">CALCULADORA!$F$10</definedName>
    <definedName name="IndRotacionAnual">CALCULADORA!$F$9</definedName>
    <definedName name="lstCUMP">tblCUMP[CUMPLE]</definedName>
    <definedName name="lstEstados">catEstados[Estado]</definedName>
    <definedName name="lstSeveridad">catSeveridad[Severidad]</definedName>
    <definedName name="NvEmpresa">CALCULADORA!$Q$9</definedName>
    <definedName name="OtrosCostosInd">CALCULADORA!$F$12</definedName>
    <definedName name="PrimerLinea">CATÁLOGOS!$AC$1</definedName>
    <definedName name="SalarioPromedio">CALCULADORA!$C$12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2" l="1"/>
  <c r="F25" i="2"/>
  <c r="Q10" i="2"/>
  <c r="Q11" i="2" s="1"/>
  <c r="O3" i="1"/>
  <c r="O4" i="1"/>
  <c r="O5" i="1"/>
  <c r="O6" i="1"/>
  <c r="O7" i="1"/>
  <c r="O8" i="1"/>
  <c r="O9" i="1"/>
  <c r="O10" i="1"/>
  <c r="O11" i="1"/>
  <c r="N12" i="2" s="1"/>
  <c r="U10" i="2" s="1"/>
  <c r="U11" i="2" s="1"/>
  <c r="U12" i="2" s="1"/>
  <c r="Q9" i="2"/>
  <c r="N11" i="2" s="1"/>
  <c r="F24" i="2" l="1"/>
  <c r="F27" i="2"/>
  <c r="U9" i="2"/>
  <c r="AC9" i="1"/>
  <c r="AC10" i="1"/>
  <c r="AC6" i="1"/>
  <c r="AC8" i="1"/>
  <c r="AC7" i="1"/>
  <c r="AC5" i="1"/>
  <c r="AC4" i="1"/>
  <c r="AC3" i="1"/>
  <c r="AD3" i="1" s="1"/>
  <c r="AD4" i="1" s="1"/>
  <c r="AD5" i="1" s="1"/>
  <c r="AD6" i="1" s="1"/>
  <c r="AD7" i="1" s="1"/>
  <c r="N9" i="2"/>
  <c r="AD8" i="1" l="1"/>
  <c r="AD9" i="1" s="1"/>
  <c r="AD10" i="1" s="1"/>
  <c r="AB1" i="1"/>
  <c r="AC1" i="1" s="1"/>
  <c r="A15" i="2" s="1"/>
  <c r="A16" i="2" l="1"/>
  <c r="AE4" i="1"/>
  <c r="AE3" i="1"/>
  <c r="A17" i="2" l="1"/>
  <c r="A18" i="2" l="1"/>
  <c r="AE5" i="1"/>
  <c r="A19" i="2" l="1"/>
  <c r="A20" i="2" l="1"/>
  <c r="A21" i="2" l="1"/>
  <c r="AE6" i="1" l="1"/>
  <c r="AE7" i="1" l="1"/>
  <c r="AE8" i="1"/>
  <c r="AE10" i="1" l="1"/>
  <c r="AE9" i="1"/>
  <c r="AH3" i="1" l="1" a="1"/>
  <c r="AH3" i="1" l="1"/>
  <c r="B15" i="2"/>
  <c r="B16" i="2"/>
  <c r="B17" i="2"/>
  <c r="B18" i="2"/>
  <c r="B19" i="2"/>
  <c r="B20" i="2"/>
  <c r="B21" i="2"/>
  <c r="J19" i="2" l="1"/>
  <c r="M19" i="2" s="1"/>
  <c r="J20" i="2"/>
  <c r="M20" i="2" s="1"/>
  <c r="J18" i="2"/>
  <c r="I17" i="2"/>
  <c r="L17" i="2" s="1"/>
  <c r="J17" i="2"/>
  <c r="J16" i="2"/>
  <c r="J15" i="2"/>
  <c r="M15" i="2" s="1"/>
  <c r="J21" i="2"/>
  <c r="I15" i="2"/>
  <c r="K15" i="2" s="1"/>
  <c r="I18" i="2"/>
  <c r="K18" i="2" s="1"/>
  <c r="I19" i="2"/>
  <c r="L19" i="2" s="1"/>
  <c r="I16" i="2"/>
  <c r="I21" i="2"/>
  <c r="K21" i="2" s="1"/>
  <c r="I20" i="2"/>
  <c r="K20" i="2" s="1"/>
  <c r="K17" i="2" l="1"/>
  <c r="M17" i="2"/>
  <c r="N17" i="2" s="1"/>
  <c r="O17" i="2" s="1"/>
  <c r="P17" i="2" s="1"/>
  <c r="L15" i="2"/>
  <c r="N15" i="2" s="1"/>
  <c r="O15" i="2" s="1"/>
  <c r="P15" i="2" s="1"/>
  <c r="L18" i="2"/>
  <c r="L20" i="2"/>
  <c r="N20" i="2" s="1"/>
  <c r="O20" i="2" s="1"/>
  <c r="P20" i="2" s="1"/>
  <c r="N19" i="2"/>
  <c r="O19" i="2" s="1"/>
  <c r="P19" i="2" s="1"/>
  <c r="L21" i="2"/>
  <c r="M21" i="2" s="1"/>
  <c r="K19" i="2"/>
  <c r="K16" i="2"/>
  <c r="L16" i="2"/>
  <c r="M16" i="2" s="1"/>
  <c r="M18" i="2" l="1"/>
  <c r="N18" i="2" s="1"/>
  <c r="O18" i="2" s="1"/>
  <c r="P18" i="2" s="1"/>
  <c r="N21" i="2"/>
  <c r="O21" i="2" s="1"/>
  <c r="P21" i="2" s="1"/>
  <c r="N16" i="2"/>
  <c r="O16" i="2" s="1"/>
  <c r="P16" i="2" s="1"/>
  <c r="F23" i="2" l="1"/>
  <c r="F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<sst xmlns="http://schemas.openxmlformats.org/spreadsheetml/2006/main" count="168" uniqueCount="131">
  <si>
    <t>TpEmpresa</t>
  </si>
  <si>
    <t>MICRO</t>
  </si>
  <si>
    <t>MEDIA</t>
  </si>
  <si>
    <t>GRANDE</t>
  </si>
  <si>
    <t>Trab Min</t>
  </si>
  <si>
    <t>Trab Max</t>
  </si>
  <si>
    <t>Política</t>
  </si>
  <si>
    <t>ATS</t>
  </si>
  <si>
    <t>Atención clínica</t>
  </si>
  <si>
    <t>Categoría</t>
  </si>
  <si>
    <t>FRPS</t>
  </si>
  <si>
    <t>NvEmpresa</t>
  </si>
  <si>
    <t>Nv</t>
  </si>
  <si>
    <t>1,2,3</t>
  </si>
  <si>
    <t>2,3</t>
  </si>
  <si>
    <t xml:space="preserve">Estado (entidad federativa): </t>
  </si>
  <si>
    <t>Valor de la UMA:</t>
  </si>
  <si>
    <t>Código Postal (CP):</t>
  </si>
  <si>
    <t>edoID</t>
  </si>
  <si>
    <t>AGUASCALIENTES</t>
  </si>
  <si>
    <t>BAJA CALIFORNIA</t>
  </si>
  <si>
    <t>BAJA CALIFORNIA SUR</t>
  </si>
  <si>
    <t>CAMPECHE</t>
  </si>
  <si>
    <t>COLIMA</t>
  </si>
  <si>
    <t>CHIAPAS</t>
  </si>
  <si>
    <t>CHIHUAHUA</t>
  </si>
  <si>
    <t>CIUDAD DE MÉXICO</t>
  </si>
  <si>
    <t>DURANGO</t>
  </si>
  <si>
    <t>GUANAJUATO</t>
  </si>
  <si>
    <t>GUERRERO</t>
  </si>
  <si>
    <t>HIDALGO</t>
  </si>
  <si>
    <t>JALISCO</t>
  </si>
  <si>
    <t>MÉXICO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</si>
  <si>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</si>
  <si>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</si>
  <si>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</si>
  <si>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</si>
  <si>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</si>
  <si>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</si>
  <si>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</si>
  <si>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</si>
  <si>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</si>
  <si>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</si>
  <si>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</si>
  <si>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</si>
  <si>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</si>
  <si>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YUCATÁN</t>
  </si>
  <si>
    <t>ZACATECAS</t>
  </si>
  <si>
    <t>Estado</t>
  </si>
  <si>
    <t>Tipo de Empresa:</t>
  </si>
  <si>
    <t>Nivel de Empresa:</t>
  </si>
  <si>
    <t>Severidad</t>
  </si>
  <si>
    <t>Leve</t>
  </si>
  <si>
    <t>Media</t>
  </si>
  <si>
    <t>Alta</t>
  </si>
  <si>
    <t>Grave</t>
  </si>
  <si>
    <t>UMA por trabajador</t>
  </si>
  <si>
    <t>Nombre de la empresa:</t>
  </si>
  <si>
    <t>Capacidad económica de la empresa:</t>
  </si>
  <si>
    <t>Aplica</t>
  </si>
  <si>
    <t>No</t>
  </si>
  <si>
    <t>UMAxObl</t>
  </si>
  <si>
    <t>UMAxTrb</t>
  </si>
  <si>
    <t>ID</t>
  </si>
  <si>
    <t>Obligación</t>
  </si>
  <si>
    <t>¿Incumplida?</t>
  </si>
  <si>
    <t>Trabajadores con daño personal</t>
  </si>
  <si>
    <t>UMA sin reincidencia</t>
  </si>
  <si>
    <t>UMA total por obligación</t>
  </si>
  <si>
    <t>CUMPLE</t>
  </si>
  <si>
    <t>SÍ</t>
  </si>
  <si>
    <t>NO</t>
  </si>
  <si>
    <t>UMA por obligación</t>
  </si>
  <si>
    <t>¿Reincidencia en los últimos 2 años?</t>
  </si>
  <si>
    <t>Capacidad</t>
  </si>
  <si>
    <t>A</t>
  </si>
  <si>
    <t>B</t>
  </si>
  <si>
    <t>C</t>
  </si>
  <si>
    <t>AA</t>
  </si>
  <si>
    <t>AAA</t>
  </si>
  <si>
    <t>BB</t>
  </si>
  <si>
    <t>BBB</t>
  </si>
  <si>
    <t>CveCap</t>
  </si>
  <si>
    <t>CntMaxTrb</t>
  </si>
  <si>
    <t>CntMinTrb</t>
  </si>
  <si>
    <t>FactorCEE</t>
  </si>
  <si>
    <t>Factor por la Capacidad Económica:</t>
  </si>
  <si>
    <t>Numeral</t>
  </si>
  <si>
    <t>Indirecto</t>
  </si>
  <si>
    <t>Directo</t>
  </si>
  <si>
    <t>Entorno</t>
  </si>
  <si>
    <t>Medidas</t>
  </si>
  <si>
    <t>Difusión</t>
  </si>
  <si>
    <t>Registros</t>
  </si>
  <si>
    <t>Riesgo</t>
  </si>
  <si>
    <t>Obligación2</t>
  </si>
  <si>
    <t>Costo por obligación</t>
  </si>
  <si>
    <t>Tipo de Riesgo</t>
  </si>
  <si>
    <t>UMA por daño a trabajador</t>
  </si>
  <si>
    <t>Fecha de cálculo:</t>
  </si>
  <si>
    <t>Capacidad económica tope:</t>
  </si>
  <si>
    <t>Excedente:</t>
  </si>
  <si>
    <t>COSTO ANUAL ESTIMADO POR ROTACIÓN DEL PERSONAL:</t>
  </si>
  <si>
    <t>COSTO ANUAL ESTIMADO POR MAL CLIMA LABORAL Y LIDERAZGO DEFICIENTE:</t>
  </si>
  <si>
    <t>Costo Anual por Trabajador:</t>
  </si>
  <si>
    <t>Costo de Reemplazo anual:</t>
  </si>
  <si>
    <t>COSTO ANUAL ESTIMADO POR ACCIDENTES GENERADOS POR ESTRÉS Y BAJA CONCENTRACIÓN:</t>
  </si>
  <si>
    <t>Sobre Giro por excedente:</t>
  </si>
  <si>
    <t>Índice de Rotación Anual:</t>
  </si>
  <si>
    <t>Índice de Accidente Anual:</t>
  </si>
  <si>
    <t>Impacto por Mal Clima Laboral:</t>
  </si>
  <si>
    <t>Estimación de Otros Costos:</t>
  </si>
  <si>
    <t>OBLIGACIONES DEL PATRÓN RELACIONADAS A LA NOM-035-STPS-2018</t>
  </si>
  <si>
    <t>Cantidad de trabajadores:</t>
  </si>
  <si>
    <t>Salario promedio mensual:</t>
  </si>
  <si>
    <t>COSTOS ANUALES ESTIMADO POR OTROS ELEMENTOS INDIRECTOS:</t>
  </si>
  <si>
    <t xml:space="preserve">PENALIZACIÓN BIANUAL ESTIMADA POR NO CUMPLIMIENTO DE LA NOM-035-STPS-2018: </t>
  </si>
  <si>
    <t>Se cuenta con una política de prevención de riesgos psicosocial por escrito, y dicha política está difundida e implantada?</t>
  </si>
  <si>
    <t>Se ha aplicado la identificación y análisis de los factores de riesgo psicosocial (para empresas de menos de 50 trabajadores)?</t>
  </si>
  <si>
    <t>Se ha aplicado la identificación y análisis de los factores de riesgo psicosocial (para empresas de más de 50 trabajadores)?</t>
  </si>
  <si>
    <t>Se han implementado medidas de prevención para mitigar los efectos dañidos y los riesgos psicosociales?</t>
  </si>
  <si>
    <t>Se ha emprendido la detección y análisis a los trabajadores que fueron sujetos a  Acontecimientos Traumáticos Severos (ATS)?</t>
  </si>
  <si>
    <t>Se ha canalizado la atención clínica, los exámenes médicos y las evaluaciones psicológicas a los trabajadores expuestos a violencia laboral y/o a los factores de riesgo psicosocial (FRPS)?</t>
  </si>
  <si>
    <t>Se ha difundido y proporcionado información de los resultados de la identificación y análisis de los FRPS, la política de prevención, Las medidas adoptadas y las acciones de control?</t>
  </si>
  <si>
    <t>Se cuenta con un registro de los resultados de la identificación y análisis de los y la evaluación del Entorno Organizacional, las medidas de control adoptadas y los nombres de los trabajadores a los que se les practicaron los exámenes o evaluaciones clínicas?</t>
  </si>
  <si>
    <t>TOTAL COSTO ANUAL ESTIMADO:</t>
  </si>
  <si>
    <t>MICHOACÁN</t>
  </si>
  <si>
    <t>COAHUILA</t>
  </si>
  <si>
    <t>VERACRUZ</t>
  </si>
  <si>
    <t>(nombre de la empresa)</t>
  </si>
  <si>
    <t>NOM-035-STPS-2018
CALCULADORA DE PENALIZACIONES Y COSTOS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</si>
</sst>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0.0%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Calibri"/>
      <family val="2"/>
    </font>
    <font>
      <b/>
      <sz val="16"/>
      <color rgb="FFFFFF00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6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  <font>
      <sz val="11"/>
      <color theme="0" tint="-0.14999847407452621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rgb="FFFFFF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3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165" fontId="0" fillId="0" borderId="0" xfId="1" applyNumberFormat="1" applyFont="1" applyAlignment="1">
      <alignment horizontal="right" inden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11" fillId="6" borderId="17" xfId="0" applyFont="1" applyFill="1" applyBorder="1" applyAlignment="1">
      <alignment horizontal="left" vertical="center" indent="1"/>
    </xf>
    <xf numFmtId="3" fontId="11" fillId="6" borderId="17" xfId="0" applyNumberFormat="1" applyFont="1" applyFill="1" applyBorder="1" applyAlignment="1">
      <alignment horizontal="right" vertical="center" indent="1"/>
    </xf>
    <xf numFmtId="164" fontId="11" fillId="6" borderId="12" xfId="0" applyNumberFormat="1" applyFont="1" applyFill="1" applyBorder="1" applyAlignment="1">
      <alignment horizontal="right" vertical="center" indent="1"/>
    </xf>
    <xf numFmtId="0" fontId="11" fillId="6" borderId="6" xfId="0" applyFont="1" applyFill="1" applyBorder="1" applyAlignment="1">
      <alignment horizontal="left" vertical="center" indent="1"/>
    </xf>
    <xf numFmtId="3" fontId="11" fillId="6" borderId="6" xfId="0" applyNumberFormat="1" applyFont="1" applyFill="1" applyBorder="1" applyAlignment="1">
      <alignment horizontal="right" vertical="center" indent="1"/>
    </xf>
    <xf numFmtId="164" fontId="11" fillId="6" borderId="14" xfId="0" applyNumberFormat="1" applyFont="1" applyFill="1" applyBorder="1" applyAlignment="1">
      <alignment horizontal="right" vertical="center" indent="1"/>
    </xf>
    <xf numFmtId="0" fontId="11" fillId="6" borderId="18" xfId="0" applyFont="1" applyFill="1" applyBorder="1" applyAlignment="1">
      <alignment horizontal="left" vertical="center" indent="1"/>
    </xf>
    <xf numFmtId="3" fontId="11" fillId="6" borderId="18" xfId="0" applyNumberFormat="1" applyFont="1" applyFill="1" applyBorder="1" applyAlignment="1">
      <alignment horizontal="right" vertical="center" indent="1"/>
    </xf>
    <xf numFmtId="164" fontId="11" fillId="6" borderId="16" xfId="0" applyNumberFormat="1" applyFont="1" applyFill="1" applyBorder="1" applyAlignment="1">
      <alignment horizontal="right" vertical="center" indent="1"/>
    </xf>
    <xf numFmtId="0" fontId="0" fillId="6" borderId="0" xfId="0" applyFill="1"/>
    <xf numFmtId="0" fontId="0" fillId="6" borderId="0" xfId="0" applyFill="1" applyAlignment="1">
      <alignment horizontal="right"/>
    </xf>
    <xf numFmtId="0" fontId="0" fillId="6" borderId="0" xfId="0" applyFill="1" applyAlignment="1">
      <alignment horizontal="left" vertical="center" indent="1"/>
    </xf>
    <xf numFmtId="3" fontId="7" fillId="6" borderId="0" xfId="0" applyNumberFormat="1" applyFont="1" applyFill="1" applyAlignment="1">
      <alignment horizontal="left" vertical="center" indent="1"/>
    </xf>
    <xf numFmtId="0" fontId="0" fillId="6" borderId="0" xfId="0" applyFill="1" applyAlignment="1">
      <alignment vertical="center"/>
    </xf>
    <xf numFmtId="3" fontId="10" fillId="6" borderId="0" xfId="0" applyNumberFormat="1" applyFont="1" applyFill="1" applyAlignment="1">
      <alignment horizontal="left" vertical="center" indent="1"/>
    </xf>
    <xf numFmtId="0" fontId="6" fillId="6" borderId="0" xfId="0" applyFont="1" applyFill="1" applyAlignment="1">
      <alignment vertical="center"/>
    </xf>
    <xf numFmtId="0" fontId="12" fillId="6" borderId="0" xfId="0" applyFont="1" applyFill="1" applyAlignment="1">
      <alignment vertical="center"/>
    </xf>
    <xf numFmtId="0" fontId="3" fillId="6" borderId="0" xfId="0" applyFont="1" applyFill="1" applyAlignment="1">
      <alignment horizontal="right" indent="1"/>
    </xf>
    <xf numFmtId="0" fontId="3" fillId="6" borderId="0" xfId="0" applyFont="1" applyFill="1"/>
    <xf numFmtId="0" fontId="12" fillId="6" borderId="0" xfId="0" applyFont="1" applyFill="1" applyAlignment="1">
      <alignment horizontal="right" vertical="center"/>
    </xf>
    <xf numFmtId="14" fontId="12" fillId="6" borderId="0" xfId="0" applyNumberFormat="1" applyFont="1" applyFill="1" applyAlignment="1">
      <alignment horizontal="left" vertical="center"/>
    </xf>
    <xf numFmtId="0" fontId="12" fillId="6" borderId="0" xfId="0" applyFont="1" applyFill="1"/>
    <xf numFmtId="0" fontId="12" fillId="6" borderId="0" xfId="0" applyFont="1" applyFill="1" applyAlignment="1">
      <alignment horizontal="left" vertical="center" indent="1"/>
    </xf>
    <xf numFmtId="9" fontId="12" fillId="6" borderId="0" xfId="1" applyFont="1" applyFill="1" applyAlignment="1">
      <alignment horizontal="left" vertical="center" indent="1"/>
    </xf>
    <xf numFmtId="0" fontId="12" fillId="6" borderId="0" xfId="0" applyFont="1" applyFill="1" applyAlignment="1">
      <alignment horizontal="left" vertical="center"/>
    </xf>
    <xf numFmtId="3" fontId="12" fillId="6" borderId="0" xfId="0" applyNumberFormat="1" applyFont="1" applyFill="1" applyAlignment="1">
      <alignment horizontal="left" vertical="center" indent="1"/>
    </xf>
    <xf numFmtId="10" fontId="12" fillId="6" borderId="0" xfId="1" applyNumberFormat="1" applyFont="1" applyFill="1" applyAlignment="1">
      <alignment horizontal="left" vertical="center" indent="1"/>
    </xf>
    <xf numFmtId="0" fontId="0" fillId="7" borderId="7" xfId="0" applyFill="1" applyBorder="1" applyAlignment="1" applyProtection="1">
      <alignment horizontal="left" vertical="center" indent="1"/>
      <protection locked="0"/>
    </xf>
    <xf numFmtId="0" fontId="0" fillId="7" borderId="8" xfId="0" applyFill="1" applyBorder="1" applyAlignment="1" applyProtection="1">
      <alignment horizontal="left" vertical="center" indent="1"/>
      <protection locked="0"/>
    </xf>
    <xf numFmtId="3" fontId="13" fillId="7" borderId="8" xfId="0" applyNumberFormat="1" applyFont="1" applyFill="1" applyBorder="1" applyAlignment="1" applyProtection="1">
      <alignment horizontal="left" vertical="center" indent="1"/>
      <protection locked="0"/>
    </xf>
    <xf numFmtId="3" fontId="13" fillId="7" borderId="9" xfId="0" applyNumberFormat="1" applyFont="1" applyFill="1" applyBorder="1" applyAlignment="1" applyProtection="1">
      <alignment horizontal="left" vertical="center" indent="1"/>
      <protection locked="0"/>
    </xf>
    <xf numFmtId="10" fontId="11" fillId="7" borderId="7" xfId="0" applyNumberFormat="1" applyFont="1" applyFill="1" applyBorder="1" applyAlignment="1" applyProtection="1">
      <alignment horizontal="right" indent="2"/>
      <protection locked="0"/>
    </xf>
    <xf numFmtId="10" fontId="11" fillId="7" borderId="8" xfId="0" applyNumberFormat="1" applyFont="1" applyFill="1" applyBorder="1" applyAlignment="1" applyProtection="1">
      <alignment horizontal="right" indent="2"/>
      <protection locked="0"/>
    </xf>
    <xf numFmtId="10" fontId="11" fillId="7" borderId="9" xfId="0" applyNumberFormat="1" applyFont="1" applyFill="1" applyBorder="1" applyAlignment="1" applyProtection="1">
      <alignment horizontal="right" indent="2"/>
      <protection locked="0"/>
    </xf>
    <xf numFmtId="0" fontId="0" fillId="7" borderId="17" xfId="0" applyFill="1" applyBorder="1" applyAlignment="1" applyProtection="1">
      <alignment horizontal="center" vertical="center"/>
      <protection locked="0"/>
    </xf>
    <xf numFmtId="0" fontId="0" fillId="7" borderId="6" xfId="0" applyFill="1" applyBorder="1" applyAlignment="1" applyProtection="1">
      <alignment horizontal="center" vertical="center"/>
      <protection locked="0"/>
    </xf>
    <xf numFmtId="0" fontId="0" fillId="7" borderId="18" xfId="0" applyFill="1" applyBorder="1" applyAlignment="1" applyProtection="1">
      <alignment horizontal="center" vertical="center"/>
      <protection locked="0"/>
    </xf>
    <xf numFmtId="0" fontId="16" fillId="6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vertical="center"/>
    </xf>
    <xf numFmtId="0" fontId="15" fillId="6" borderId="13" xfId="0" applyFont="1" applyFill="1" applyBorder="1" applyAlignment="1">
      <alignment horizontal="right" vertical="center" indent="1"/>
    </xf>
    <xf numFmtId="0" fontId="15" fillId="6" borderId="6" xfId="0" applyFont="1" applyFill="1" applyBorder="1" applyAlignment="1">
      <alignment horizontal="right" vertical="center" indent="1"/>
    </xf>
    <xf numFmtId="0" fontId="15" fillId="6" borderId="15" xfId="0" applyFont="1" applyFill="1" applyBorder="1" applyAlignment="1">
      <alignment horizontal="right" vertical="center" indent="1"/>
    </xf>
    <xf numFmtId="0" fontId="15" fillId="6" borderId="18" xfId="0" applyFont="1" applyFill="1" applyBorder="1" applyAlignment="1">
      <alignment horizontal="right" vertical="center" indent="1"/>
    </xf>
    <xf numFmtId="0" fontId="9" fillId="4" borderId="2" xfId="0" applyFont="1" applyFill="1" applyBorder="1" applyAlignment="1">
      <alignment horizontal="right" vertical="center" indent="1"/>
    </xf>
    <xf numFmtId="0" fontId="9" fillId="4" borderId="10" xfId="0" applyFont="1" applyFill="1" applyBorder="1" applyAlignment="1">
      <alignment horizontal="right" vertical="center" indent="1"/>
    </xf>
    <xf numFmtId="164" fontId="5" fillId="5" borderId="4" xfId="0" applyNumberFormat="1" applyFont="1" applyFill="1" applyBorder="1" applyAlignment="1">
      <alignment horizontal="left" vertical="center" indent="1"/>
    </xf>
    <xf numFmtId="164" fontId="5" fillId="5" borderId="5" xfId="0" applyNumberFormat="1" applyFont="1" applyFill="1" applyBorder="1" applyAlignment="1">
      <alignment horizontal="left" vertical="center" indent="1"/>
    </xf>
    <xf numFmtId="164" fontId="8" fillId="6" borderId="17" xfId="0" applyNumberFormat="1" applyFont="1" applyFill="1" applyBorder="1" applyAlignment="1">
      <alignment horizontal="left" vertical="center" indent="1"/>
    </xf>
    <xf numFmtId="164" fontId="8" fillId="6" borderId="12" xfId="0" applyNumberFormat="1" applyFont="1" applyFill="1" applyBorder="1" applyAlignment="1">
      <alignment horizontal="left" vertical="center" indent="1"/>
    </xf>
    <xf numFmtId="164" fontId="8" fillId="6" borderId="6" xfId="0" applyNumberFormat="1" applyFont="1" applyFill="1" applyBorder="1" applyAlignment="1">
      <alignment horizontal="left" vertical="center" indent="1"/>
    </xf>
    <xf numFmtId="164" fontId="8" fillId="6" borderId="14" xfId="0" applyNumberFormat="1" applyFont="1" applyFill="1" applyBorder="1" applyAlignment="1">
      <alignment horizontal="left" vertical="center" indent="1"/>
    </xf>
    <xf numFmtId="164" fontId="8" fillId="6" borderId="18" xfId="0" applyNumberFormat="1" applyFont="1" applyFill="1" applyBorder="1" applyAlignment="1">
      <alignment horizontal="left" vertical="center" indent="1"/>
    </xf>
    <xf numFmtId="164" fontId="8" fillId="6" borderId="16" xfId="0" applyNumberFormat="1" applyFont="1" applyFill="1" applyBorder="1" applyAlignment="1">
      <alignment horizontal="left" vertical="center" indent="1"/>
    </xf>
    <xf numFmtId="164" fontId="9" fillId="4" borderId="10" xfId="0" applyNumberFormat="1" applyFont="1" applyFill="1" applyBorder="1" applyAlignment="1">
      <alignment horizontal="left" vertical="center" indent="1"/>
    </xf>
    <xf numFmtId="164" fontId="9" fillId="4" borderId="3" xfId="0" applyNumberFormat="1" applyFont="1" applyFill="1" applyBorder="1" applyAlignment="1">
      <alignment horizontal="left" vertical="center" indent="1"/>
    </xf>
    <xf numFmtId="0" fontId="3" fillId="6" borderId="13" xfId="0" applyFont="1" applyFill="1" applyBorder="1" applyAlignment="1">
      <alignment horizontal="left" vertical="center" wrapText="1" indent="1"/>
    </xf>
    <xf numFmtId="0" fontId="3" fillId="6" borderId="6" xfId="0" applyFont="1" applyFill="1" applyBorder="1" applyAlignment="1">
      <alignment horizontal="left" vertical="center" wrapText="1" indent="1"/>
    </xf>
    <xf numFmtId="0" fontId="3" fillId="6" borderId="15" xfId="0" applyFont="1" applyFill="1" applyBorder="1" applyAlignment="1">
      <alignment horizontal="left" vertical="center" wrapText="1" indent="1"/>
    </xf>
    <xf numFmtId="0" fontId="3" fillId="6" borderId="18" xfId="0" applyFont="1" applyFill="1" applyBorder="1" applyAlignment="1">
      <alignment horizontal="left" vertical="center" wrapText="1" indent="1"/>
    </xf>
    <xf numFmtId="0" fontId="3" fillId="7" borderId="2" xfId="0" applyFont="1" applyFill="1" applyBorder="1" applyAlignment="1" applyProtection="1">
      <alignment horizontal="left" vertical="center" indent="1"/>
      <protection locked="0"/>
    </xf>
    <xf numFmtId="0" fontId="3" fillId="7" borderId="10" xfId="0" applyFont="1" applyFill="1" applyBorder="1" applyAlignment="1" applyProtection="1">
      <alignment horizontal="left" vertical="center" indent="1"/>
      <protection locked="0"/>
    </xf>
    <xf numFmtId="0" fontId="3" fillId="7" borderId="3" xfId="0" applyFont="1" applyFill="1" applyBorder="1" applyAlignment="1" applyProtection="1">
      <alignment horizontal="left" vertical="center" indent="1"/>
      <protection locked="0"/>
    </xf>
    <xf numFmtId="0" fontId="14" fillId="5" borderId="1" xfId="0" applyFont="1" applyFill="1" applyBorder="1" applyAlignment="1">
      <alignment horizontal="right" vertical="center" indent="1"/>
    </xf>
    <xf numFmtId="0" fontId="14" fillId="5" borderId="4" xfId="0" applyFont="1" applyFill="1" applyBorder="1" applyAlignment="1">
      <alignment horizontal="right" vertical="center" indent="1"/>
    </xf>
    <xf numFmtId="0" fontId="15" fillId="6" borderId="11" xfId="0" applyFont="1" applyFill="1" applyBorder="1" applyAlignment="1">
      <alignment horizontal="right" vertical="center" indent="1"/>
    </xf>
    <xf numFmtId="0" fontId="15" fillId="6" borderId="17" xfId="0" applyFont="1" applyFill="1" applyBorder="1" applyAlignment="1">
      <alignment horizontal="right" vertical="center" indent="1"/>
    </xf>
    <xf numFmtId="0" fontId="4" fillId="4" borderId="2" xfId="0" applyFont="1" applyFill="1" applyBorder="1" applyAlignment="1">
      <alignment horizontal="left" vertical="center" wrapText="1" indent="1"/>
    </xf>
    <xf numFmtId="0" fontId="4" fillId="4" borderId="10" xfId="0" applyFont="1" applyFill="1" applyBorder="1" applyAlignment="1">
      <alignment horizontal="left" vertical="center" wrapText="1" indent="1"/>
    </xf>
    <xf numFmtId="0" fontId="4" fillId="4" borderId="19" xfId="0" applyFont="1" applyFill="1" applyBorder="1" applyAlignment="1">
      <alignment horizontal="left" vertical="center" wrapText="1" indent="1"/>
    </xf>
    <xf numFmtId="0" fontId="3" fillId="6" borderId="11" xfId="0" applyFont="1" applyFill="1" applyBorder="1" applyAlignment="1">
      <alignment horizontal="left" vertical="center" wrapText="1" indent="1"/>
    </xf>
    <xf numFmtId="0" fontId="3" fillId="6" borderId="17" xfId="0" applyFont="1" applyFill="1" applyBorder="1" applyAlignment="1">
      <alignment horizontal="left" vertical="center" wrapText="1" indent="1"/>
    </xf>
  </cellXfs>
  <cellStyles count="2">
    <cellStyle name="Normal" xfId="0" builtinId="0"/>
    <cellStyle name="Porcentaje" xfId="1" builtinId="5"/>
  </cellStyles>
  <dxfs count="13"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  <fill>
        <patternFill patternType="solid">
          <fgColor auto="1"/>
        </patternFill>
      </fill>
    </dxf>
    <dxf>
      <font>
        <color theme="0"/>
      </font>
    </dxf>
    <dxf>
      <numFmt numFmtId="165" formatCode="0.0%"/>
      <alignment horizontal="right" vertical="bottom" textRotation="0" wrapText="0" indent="1" justifyLastLine="0" shrinkToFit="0" readingOrder="0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relativeIndent="1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45720</xdr:colOff>
      <xdr:row>1</xdr:row>
      <xdr:rowOff>1</xdr:rowOff>
    </xdr:from>
    <xdr:to>
      <xdr:col>2</xdr:col>
      <xdr:colOff>335280</xdr:colOff>
      <xdr:row>4</xdr:row>
      <xdr:rowOff>101235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333EF1-803D-D281-1829-62C180D25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" y="182881"/>
          <a:ext cx="2202180" cy="649874"/>
        </a:xfrm>
        <a:prstGeom prst="rect">
          <a:avLst/>
        </a:prstGeom>
      </xdr:spPr>
    </xdr:pic>
    <xdr:clientData/>
  </xdr:twoCellAnchor>
  <xdr:twoCellAnchor editAs="oneCell">
    <xdr:from>
      <xdr:col>4</xdr:col>
      <xdr:colOff>1927861</xdr:colOff>
      <xdr:row>1</xdr:row>
      <xdr:rowOff>22861</xdr:rowOff>
    </xdr:from>
    <xdr:to>
      <xdr:col>6</xdr:col>
      <xdr:colOff>571500</xdr:colOff>
      <xdr:row>4</xdr:row>
      <xdr:rowOff>40641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67159B6-12E2-5330-F29B-5D2EA3E5B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0301" y="205741"/>
          <a:ext cx="1699259" cy="56642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5A2C75-DBB4-4913-95E6-0AAA57CC9EF1}" name="catEstados" displayName="catEstados" ref="A2:B34" totalsRowShown="0">
  <autoFilter ref="A2:B34" xr:uid="{E75A2C75-DBB4-4913-95E6-0AAA57CC9EF1}"/>
  <tableColumns count="2">
    <tableColumn id="1" xr3:uid="{7D1E0874-EEF7-4A53-B840-902951A7AC3D}" name="edoID"/>
    <tableColumn id="2" xr3:uid="{0A8C03F5-C103-46AF-AFC8-A6C990D2F320}" name="Estado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9284FAF-CFDF-453C-A91E-411459A63977}" name="catTpEmpresa" displayName="catTpEmpresa" ref="F2:I5" totalsRowShown="0">
  <autoFilter ref="F2:I5" xr:uid="{99284FAF-CFDF-453C-A91E-411459A63977}"/>
  <tableColumns count="4">
    <tableColumn id="1" xr3:uid="{A14AF9FF-1569-4BF6-A685-27291975C888}" name="NvEmpresa"/>
    <tableColumn id="2" xr3:uid="{EB6DB4B7-4F5C-4CC1-B9D8-47C898EC3E7B}" name="TpEmpresa"/>
    <tableColumn id="3" xr3:uid="{832E91C1-DAD3-4221-BA9B-3E12FC05D513}" name="Trab Min"/>
    <tableColumn id="4" xr3:uid="{CB4FCAC7-C0BD-4F4D-9537-22BE8CC3D3F6}" name="Trab Max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B222582-F8C8-4846-A28D-0DEE760DAA92}" name="catSeveridad" displayName="catSeveridad" ref="R2:T6" totalsRowShown="0">
  <autoFilter ref="R2:T6" xr:uid="{4B222582-F8C8-4846-A28D-0DEE760DAA92}"/>
  <tableColumns count="3">
    <tableColumn id="1" xr3:uid="{3A166225-B116-4821-924E-41D614E62CC5}" name="Severidad"/>
    <tableColumn id="2" xr3:uid="{31EB4CE0-72FB-4053-BE87-4A443B7EEDB2}" name="UMAxObl"/>
    <tableColumn id="3" xr3:uid="{99338F82-22DA-47C7-BD15-4378D6758C3E}" name="UMAxTrb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DFAEB0B-1FC3-4D40-A4A5-4029360532EB}" name="catObligacion" displayName="catObligacion" ref="V2:AE10" totalsRowShown="0" headerRowDxfId="12">
  <autoFilter ref="V2:AE10" xr:uid="{2DFAEB0B-1FC3-4D40-A4A5-4029360532EB}"/>
  <sortState xmlns:xlrd2="http://schemas.microsoft.com/office/spreadsheetml/2017/richdata2" ref="V3:AE10">
    <sortCondition ref="W2:W10"/>
  </sortState>
  <tableColumns count="10">
    <tableColumn id="6" xr3:uid="{C83893ED-ED7B-43B1-ADB6-120064366A06}" name="ID"/>
    <tableColumn id="10" xr3:uid="{1069383E-BC3F-43DC-94FB-B98C66ED2D30}" name="Numeral" dataDxfId="11"/>
    <tableColumn id="1" xr3:uid="{64F080DE-7046-4802-B24E-9B0BC1B6B266}" name="Obligación"/>
    <tableColumn id="2" xr3:uid="{385F1EE1-9084-4F5B-BC45-D08919A7E839}" name="Severidad" dataDxfId="10"/>
    <tableColumn id="11" xr3:uid="{274B8500-3919-436A-B0B2-70A2A9A0E131}" name="Riesgo" dataDxfId="9"/>
    <tableColumn id="3" xr3:uid="{0A48A8D4-0C3C-4187-BEAB-41AE8CEB4424}" name="Categoría"/>
    <tableColumn id="4" xr3:uid="{7FAC7B3A-430C-4ACF-A7D8-E791B3CB511D}" name="Nv" dataDxfId="8"/>
    <tableColumn id="8" xr3:uid="{5337FC74-32DE-4978-9328-B792FC77678E}" name="Aplica" dataDxfId="7">
      <calculatedColumnFormula>ISNUMBER(SEARCH(NvEmpresa,catObligacion[[#This Row],[Nv]]))+0</calculatedColumnFormula>
    </tableColumn>
    <tableColumn id="9" xr3:uid="{4C028C40-D2B9-429A-9691-BB60C7A4AA0F}" name="No" dataDxfId="6">
      <calculatedColumnFormula>IFERROR(catObligacion[[#This Row],[Aplica]]+AD2,1)</calculatedColumnFormula>
    </tableColumn>
    <tableColumn id="5" xr3:uid="{4741CAE7-EB78-421C-A67C-69F23B983560}" name="Obligación2" dataDxfId="5">
      <calculatedColumnFormula>IF(ISNUMBER(SEARCH(NvEmpresa,catObligacion[[#This Row],[Nv]])),TEXT(catObligacion[[#This Row],[No]],"00")&amp;") "&amp;catObligacion[[#This Row],[Obligación]],"")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FC63D5D-A238-433D-9D76-11201F239C83}" name="tblCUMP" displayName="tblCUMP" ref="D2:D4" totalsRowShown="0">
  <autoFilter ref="D2:D4" xr:uid="{1FC63D5D-A238-433D-9D76-11201F239C83}"/>
  <tableColumns count="1">
    <tableColumn id="1" xr3:uid="{20710B00-342B-493F-9CAE-AEBDD2959C83}" name="CUMPL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AEEC832-7CF6-41E9-948E-D09DACF40783}" name="Tabla6" displayName="Tabla6" ref="K2:P11" totalsRowShown="0">
  <autoFilter ref="K2:P11" xr:uid="{3AEEC832-7CF6-41E9-948E-D09DACF40783}"/>
  <tableColumns count="6">
    <tableColumn id="2" xr3:uid="{BCC9CE40-5B29-4764-A979-97E3708BAE41}" name="NvEmpresa"/>
    <tableColumn id="3" xr3:uid="{BD2BAB62-1284-4F6A-962A-F8A78DDD63AD}" name="Capacidad"/>
    <tableColumn id="5" xr3:uid="{25EAB00F-C3B1-46CF-A143-0EE73CD32EDD}" name="CntMinTrb"/>
    <tableColumn id="7" xr3:uid="{8DE1828D-D6A7-4765-AED1-9F56541B33E0}" name="CntMaxTrb"/>
    <tableColumn id="6" xr3:uid="{75895F7D-C5B3-4AC6-8D19-F0D80E59C594}" name="CveCap" dataDxfId="4">
      <calculatedColumnFormula>VLOOKUP(Tabla6[[#This Row],[NvEmpresa]],catTpEmpresa[],2,0)&amp;"-"&amp;Tabla6[[#This Row],[Capacidad]]</calculatedColumnFormula>
    </tableColumn>
    <tableColumn id="4" xr3:uid="{154403EF-0DCF-48DE-B023-A0DEE914F4DD}" name="FactorCEE" dataDxfId="3" dataCellStyle="Porcentaj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736B6-5735-423B-8435-3544255F9F1C}">
  <dimension ref="A1:AH34"/>
  <sheetViews>
    <sheetView workbookViewId="0">
      <selection activeCell="B33" sqref="B33"/>
    </sheetView>
  </sheetViews>
  <sheetFormatPr baseColWidth="10" defaultRowHeight="14.4" x14ac:dyDescent="0.3"/>
  <cols>
    <col min="2" max="2" width="30.44140625" bestFit="1" customWidth="1"/>
    <col min="3" max="3" width="5.109375" customWidth="1"/>
    <col min="4" max="4" width="10.5546875" customWidth="1"/>
    <col min="5" max="5" width="5.109375" customWidth="1"/>
    <col min="6" max="6" width="12.44140625" customWidth="1"/>
    <col min="7" max="7" width="12.21875" customWidth="1"/>
    <col min="10" max="10" width="4.21875" customWidth="1"/>
    <col min="11" max="11" width="12.44140625" customWidth="1"/>
    <col min="12" max="16" width="12.109375" customWidth="1"/>
    <col min="17" max="17" width="4.21875" customWidth="1"/>
    <col min="21" max="21" width="3.5546875" customWidth="1"/>
    <col min="22" max="22" width="5.5546875" bestFit="1" customWidth="1"/>
    <col min="23" max="23" width="10.44140625" bestFit="1" customWidth="1"/>
    <col min="24" max="24" width="117.6640625" bestFit="1" customWidth="1"/>
    <col min="25" max="25" width="11.6640625" bestFit="1" customWidth="1"/>
    <col min="26" max="26" width="15.21875" customWidth="1"/>
    <col min="27" max="27" width="18.33203125" customWidth="1"/>
    <col min="28" max="29" width="9.5546875" customWidth="1"/>
    <col min="30" max="30" width="7.33203125" customWidth="1"/>
    <col min="31" max="31" width="84.5546875" customWidth="1"/>
    <col min="34" max="34" width="20.6640625" bestFit="1" customWidth="1"/>
    <col min="35" max="35" width="16.5546875" bestFit="1" customWidth="1"/>
  </cols>
  <sheetData>
    <row r="1" spans="1:34" x14ac:dyDescent="0.3">
      <c r="AB1" s="5">
        <f>SUM(catObligacion[Aplica])</f>
        <v>7</v>
      </c>
      <c r="AC1" s="6">
        <f>COUNT(catObligacion[Aplica])-CntObl+1</f>
        <v>2</v>
      </c>
    </row>
    <row r="2" spans="1:34" x14ac:dyDescent="0.3">
      <c r="A2" t="s">
        <v>18</v>
      </c>
      <c r="B2" t="s">
        <v>48</v>
      </c>
      <c r="D2" t="s">
        <v>69</v>
      </c>
      <c r="F2" t="s">
        <v>11</v>
      </c>
      <c r="G2" t="s">
        <v>0</v>
      </c>
      <c r="H2" t="s">
        <v>4</v>
      </c>
      <c r="I2" t="s">
        <v>5</v>
      </c>
      <c r="K2" t="s">
        <v>11</v>
      </c>
      <c r="L2" t="s">
        <v>74</v>
      </c>
      <c r="M2" t="s">
        <v>84</v>
      </c>
      <c r="N2" t="s">
        <v>83</v>
      </c>
      <c r="O2" t="s">
        <v>82</v>
      </c>
      <c r="P2" t="s">
        <v>85</v>
      </c>
      <c r="R2" t="s">
        <v>51</v>
      </c>
      <c r="S2" t="s">
        <v>61</v>
      </c>
      <c r="T2" t="s">
        <v>62</v>
      </c>
      <c r="V2" s="1" t="s">
        <v>63</v>
      </c>
      <c r="W2" s="1" t="s">
        <v>87</v>
      </c>
      <c r="X2" s="1" t="s">
        <v>64</v>
      </c>
      <c r="Y2" s="1" t="s">
        <v>51</v>
      </c>
      <c r="Z2" s="1" t="s">
        <v>94</v>
      </c>
      <c r="AA2" s="1" t="s">
        <v>9</v>
      </c>
      <c r="AB2" s="1" t="s">
        <v>12</v>
      </c>
      <c r="AC2" s="1" t="s">
        <v>59</v>
      </c>
      <c r="AD2" s="1" t="s">
        <v>60</v>
      </c>
      <c r="AE2" s="1" t="s">
        <v>95</v>
      </c>
    </row>
    <row r="3" spans="1:34" x14ac:dyDescent="0.3">
      <c r="A3">
        <v>1</v>
      </c>
      <c r="B3" t="s">
        <v>19</v>
      </c>
      <c r="D3" t="s">
        <v>70</v>
      </c>
      <c r="F3">
        <v>1</v>
      </c>
      <c r="G3" t="s">
        <v>1</v>
      </c>
      <c r="H3">
        <v>0</v>
      </c>
      <c r="I3">
        <v>15</v>
      </c>
      <c r="K3">
        <v>1</v>
      </c>
      <c r="L3" t="s">
        <v>77</v>
      </c>
      <c r="M3">
        <v>0</v>
      </c>
      <c r="N3">
        <v>10</v>
      </c>
      <c r="O3" t="str">
        <f>VLOOKUP(Tabla6[[#This Row],[NvEmpresa]],catTpEmpresa[],2,0)&amp;"-"&amp;Tabla6[[#This Row],[Capacidad]]</f>
        <v>MICRO-C</v>
      </c>
      <c r="P3" s="7">
        <v>0</v>
      </c>
      <c r="R3" t="s">
        <v>52</v>
      </c>
      <c r="S3">
        <v>250</v>
      </c>
      <c r="T3">
        <v>250</v>
      </c>
      <c r="V3">
        <v>1</v>
      </c>
      <c r="W3" s="3">
        <v>5.0999999999999996</v>
      </c>
      <c r="X3" t="s">
        <v>117</v>
      </c>
      <c r="Y3" s="3" t="s">
        <v>53</v>
      </c>
      <c r="Z3" s="4" t="s">
        <v>88</v>
      </c>
      <c r="AA3" t="s">
        <v>6</v>
      </c>
      <c r="AB3" s="2" t="s">
        <v>13</v>
      </c>
      <c r="AC3" s="2">
        <f>ISNUMBER(SEARCH(NvEmpresa,catObligacion[[#This Row],[Nv]]))+0</f>
        <v>1</v>
      </c>
      <c r="AD3" s="2">
        <f>IFERROR(catObligacion[[#This Row],[Aplica]]+AD2,1)</f>
        <v>1</v>
      </c>
      <c r="AE3" t="str">
        <f>IF(ISNUMBER(SEARCH(NvEmpresa,catObligacion[[#This Row],[Nv]])),TEXT(catObligacion[[#This Row],[No]],"00")&amp;") "&amp;catObligacion[[#This Row],[Obligación]],"")</f>
        <v>01) Se cuenta con una política de prevención de riesgos psicosocial por escrito, y dicha política está difundida e implantada?</v>
      </c>
      <c r="AG3">
        <v>1</v>
      </c>
      <c r="AH3" t="str" cm="1">
        <f t="array" ref="AH3:AH10">_xlfn._xlws.SORT(catObligacion[Obligación2])</f>
        <v/>
      </c>
    </row>
    <row r="4" spans="1:34" x14ac:dyDescent="0.3">
      <c r="A4">
        <v>2</v>
      </c>
      <c r="B4" t="s">
        <v>20</v>
      </c>
      <c r="D4" t="s">
        <v>71</v>
      </c>
      <c r="F4">
        <v>2</v>
      </c>
      <c r="G4" t="s">
        <v>2</v>
      </c>
      <c r="H4">
        <v>16</v>
      </c>
      <c r="I4">
        <v>50</v>
      </c>
      <c r="K4">
        <v>1</v>
      </c>
      <c r="L4" t="s">
        <v>76</v>
      </c>
      <c r="M4">
        <v>10</v>
      </c>
      <c r="N4">
        <v>15</v>
      </c>
      <c r="O4" t="str">
        <f>VLOOKUP(Tabla6[[#This Row],[NvEmpresa]],catTpEmpresa[],2,0)&amp;"-"&amp;Tabla6[[#This Row],[Capacidad]]</f>
        <v>MICRO-B</v>
      </c>
      <c r="P4" s="7">
        <v>0.02</v>
      </c>
      <c r="R4" t="s">
        <v>53</v>
      </c>
      <c r="S4">
        <v>1200</v>
      </c>
      <c r="T4">
        <v>300</v>
      </c>
      <c r="V4">
        <v>2</v>
      </c>
      <c r="W4" s="3">
        <v>5.2</v>
      </c>
      <c r="X4" t="s">
        <v>118</v>
      </c>
      <c r="Y4" s="3" t="s">
        <v>54</v>
      </c>
      <c r="Z4" s="4" t="s">
        <v>89</v>
      </c>
      <c r="AA4" t="s">
        <v>10</v>
      </c>
      <c r="AB4" s="2">
        <v>2</v>
      </c>
      <c r="AC4" s="2">
        <f>ISNUMBER(SEARCH(NvEmpresa,catObligacion[[#This Row],[Nv]]))+0</f>
        <v>0</v>
      </c>
      <c r="AD4" s="2">
        <f>IFERROR(catObligacion[[#This Row],[Aplica]]+AD3,1)</f>
        <v>1</v>
      </c>
      <c r="AE4" t="str">
        <f>IF(ISNUMBER(SEARCH(NvEmpresa,catObligacion[[#This Row],[Nv]])),TEXT(catObligacion[[#This Row],[No]],"00")&amp;") "&amp;catObligacion[[#This Row],[Obligación]],"")</f>
        <v/>
      </c>
      <c r="AG4">
        <v>2</v>
      </c>
      <c r="AH4" t="str">
        <v>01) Se cuenta con una política de prevención de riesgos psicosocial por escrito, y dicha política está difundida e implantada?</v>
      </c>
    </row>
    <row r="5" spans="1:34" x14ac:dyDescent="0.3">
      <c r="A5">
        <v>3</v>
      </c>
      <c r="B5" t="s">
        <v>21</v>
      </c>
      <c r="F5">
        <v>3</v>
      </c>
      <c r="G5" t="s">
        <v>3</v>
      </c>
      <c r="H5">
        <v>50</v>
      </c>
      <c r="I5">
        <v>1000000</v>
      </c>
      <c r="K5">
        <v>2</v>
      </c>
      <c r="L5" t="s">
        <v>76</v>
      </c>
      <c r="M5">
        <v>15</v>
      </c>
      <c r="N5">
        <v>20</v>
      </c>
      <c r="O5" t="str">
        <f>VLOOKUP(Tabla6[[#This Row],[NvEmpresa]],catTpEmpresa[],2,0)&amp;"-"&amp;Tabla6[[#This Row],[Capacidad]]</f>
        <v>MEDIA-B</v>
      </c>
      <c r="P5" s="7">
        <v>0.05</v>
      </c>
      <c r="R5" t="s">
        <v>54</v>
      </c>
      <c r="S5">
        <v>2500</v>
      </c>
      <c r="T5">
        <v>500</v>
      </c>
      <c r="V5">
        <v>3</v>
      </c>
      <c r="W5" s="3">
        <v>5.3</v>
      </c>
      <c r="X5" t="s">
        <v>119</v>
      </c>
      <c r="Y5" s="3" t="s">
        <v>54</v>
      </c>
      <c r="Z5" s="4" t="s">
        <v>89</v>
      </c>
      <c r="AA5" t="s">
        <v>90</v>
      </c>
      <c r="AB5" s="2">
        <v>3</v>
      </c>
      <c r="AC5" s="2">
        <f>ISNUMBER(SEARCH(NvEmpresa,catObligacion[[#This Row],[Nv]]))+0</f>
        <v>1</v>
      </c>
      <c r="AD5" s="2">
        <f>IFERROR(catObligacion[[#This Row],[Aplica]]+AD4,1)</f>
        <v>2</v>
      </c>
      <c r="AE5" t="str">
        <f>IF(ISNUMBER(SEARCH(NvEmpresa,catObligacion[[#This Row],[Nv]])),TEXT(catObligacion[[#This Row],[No]],"00")&amp;") "&amp;catObligacion[[#This Row],[Obligación]],"")</f>
        <v>02) Se ha aplicado la identificación y análisis de los factores de riesgo psicosocial (para empresas de más de 50 trabajadores)?</v>
      </c>
      <c r="AG5">
        <v>3</v>
      </c>
      <c r="AH5" t="str">
        <v>02) Se ha aplicado la identificación y análisis de los factores de riesgo psicosocial (para empresas de más de 50 trabajadores)?</v>
      </c>
    </row>
    <row r="6" spans="1:34" x14ac:dyDescent="0.3">
      <c r="A6">
        <v>4</v>
      </c>
      <c r="B6" t="s">
        <v>22</v>
      </c>
      <c r="K6">
        <v>2</v>
      </c>
      <c r="L6" t="s">
        <v>80</v>
      </c>
      <c r="M6">
        <v>20</v>
      </c>
      <c r="N6">
        <v>30</v>
      </c>
      <c r="O6" t="str">
        <f>VLOOKUP(Tabla6[[#This Row],[NvEmpresa]],catTpEmpresa[],2,0)&amp;"-"&amp;Tabla6[[#This Row],[Capacidad]]</f>
        <v>MEDIA-BB</v>
      </c>
      <c r="P6" s="7">
        <v>0.1</v>
      </c>
      <c r="R6" t="s">
        <v>55</v>
      </c>
      <c r="S6">
        <v>5000</v>
      </c>
      <c r="T6">
        <v>1000</v>
      </c>
      <c r="V6">
        <v>4</v>
      </c>
      <c r="W6" s="3">
        <v>5.4</v>
      </c>
      <c r="X6" t="s">
        <v>120</v>
      </c>
      <c r="Y6" s="3" t="s">
        <v>54</v>
      </c>
      <c r="Z6" s="4" t="s">
        <v>89</v>
      </c>
      <c r="AA6" t="s">
        <v>91</v>
      </c>
      <c r="AB6" s="2" t="s">
        <v>13</v>
      </c>
      <c r="AC6" s="2">
        <f>ISNUMBER(SEARCH(NvEmpresa,catObligacion[[#This Row],[Nv]]))+0</f>
        <v>1</v>
      </c>
      <c r="AD6" s="2">
        <f>IFERROR(catObligacion[[#This Row],[Aplica]]+AD5,1)</f>
        <v>3</v>
      </c>
      <c r="AE6" t="str">
        <f>IF(ISNUMBER(SEARCH(NvEmpresa,catObligacion[[#This Row],[Nv]])),TEXT(catObligacion[[#This Row],[No]],"00")&amp;") "&amp;catObligacion[[#This Row],[Obligación]],"")</f>
        <v>03) Se han implementado medidas de prevención para mitigar los efectos dañidos y los riesgos psicosociales?</v>
      </c>
      <c r="AG6">
        <v>4</v>
      </c>
      <c r="AH6" t="str">
        <v>03) Se han implementado medidas de prevención para mitigar los efectos dañidos y los riesgos psicosociales?</v>
      </c>
    </row>
    <row r="7" spans="1:34" x14ac:dyDescent="0.3">
      <c r="A7">
        <v>5</v>
      </c>
      <c r="B7" t="s">
        <v>127</v>
      </c>
      <c r="K7">
        <v>2</v>
      </c>
      <c r="L7" t="s">
        <v>81</v>
      </c>
      <c r="M7">
        <v>30</v>
      </c>
      <c r="N7">
        <v>50</v>
      </c>
      <c r="O7" t="str">
        <f>VLOOKUP(Tabla6[[#This Row],[NvEmpresa]],catTpEmpresa[],2,0)&amp;"-"&amp;Tabla6[[#This Row],[Capacidad]]</f>
        <v>MEDIA-BBB</v>
      </c>
      <c r="P7" s="7">
        <v>0.15</v>
      </c>
      <c r="V7">
        <v>5</v>
      </c>
      <c r="W7" s="3">
        <v>5.5</v>
      </c>
      <c r="X7" t="s">
        <v>121</v>
      </c>
      <c r="Y7" s="3" t="s">
        <v>55</v>
      </c>
      <c r="Z7" s="4" t="s">
        <v>89</v>
      </c>
      <c r="AA7" t="s">
        <v>7</v>
      </c>
      <c r="AB7" s="2" t="s">
        <v>13</v>
      </c>
      <c r="AC7" s="2">
        <f>ISNUMBER(SEARCH(NvEmpresa,catObligacion[[#This Row],[Nv]]))+0</f>
        <v>1</v>
      </c>
      <c r="AD7" s="2">
        <f>IFERROR(catObligacion[[#This Row],[Aplica]]+AD6,1)</f>
        <v>4</v>
      </c>
      <c r="AE7" t="str">
        <f>IF(ISNUMBER(SEARCH(NvEmpresa,catObligacion[[#This Row],[Nv]])),TEXT(catObligacion[[#This Row],[No]],"00")&amp;") "&amp;catObligacion[[#This Row],[Obligación]],"")</f>
        <v>04) Se ha emprendido la detección y análisis a los trabajadores que fueron sujetos a  Acontecimientos Traumáticos Severos (ATS)?</v>
      </c>
      <c r="AG7">
        <v>5</v>
      </c>
      <c r="AH7" t="str">
        <v>04) Se ha emprendido la detección y análisis a los trabajadores que fueron sujetos a  Acontecimientos Traumáticos Severos (ATS)?</v>
      </c>
    </row>
    <row r="8" spans="1:34" x14ac:dyDescent="0.3">
      <c r="A8">
        <v>6</v>
      </c>
      <c r="B8" t="s">
        <v>23</v>
      </c>
      <c r="K8">
        <v>3</v>
      </c>
      <c r="L8" t="s">
        <v>81</v>
      </c>
      <c r="M8">
        <v>50</v>
      </c>
      <c r="N8">
        <v>80</v>
      </c>
      <c r="O8" t="str">
        <f>VLOOKUP(Tabla6[[#This Row],[NvEmpresa]],catTpEmpresa[],2,0)&amp;"-"&amp;Tabla6[[#This Row],[Capacidad]]</f>
        <v>GRANDE-BBB</v>
      </c>
      <c r="P8" s="7">
        <v>0.2</v>
      </c>
      <c r="V8">
        <v>6</v>
      </c>
      <c r="W8" s="3">
        <v>5.6</v>
      </c>
      <c r="X8" t="s">
        <v>122</v>
      </c>
      <c r="Y8" s="3" t="s">
        <v>53</v>
      </c>
      <c r="Z8" s="4" t="s">
        <v>88</v>
      </c>
      <c r="AA8" t="s">
        <v>8</v>
      </c>
      <c r="AB8" s="2" t="s">
        <v>14</v>
      </c>
      <c r="AC8" s="2">
        <f>ISNUMBER(SEARCH(NvEmpresa,catObligacion[[#This Row],[Nv]]))+0</f>
        <v>1</v>
      </c>
      <c r="AD8" s="2">
        <f>IFERROR(catObligacion[[#This Row],[Aplica]]+AD7,1)</f>
        <v>5</v>
      </c>
      <c r="AE8" t="str">
        <f>IF(ISNUMBER(SEARCH(NvEmpresa,catObligacion[[#This Row],[Nv]])),TEXT(catObligacion[[#This Row],[No]],"00")&amp;") "&amp;catObligacion[[#This Row],[Obligación]],"")</f>
        <v>05) Se ha canalizado la atención clínica, los exámenes médicos y las evaluaciones psicológicas a los trabajadores expuestos a violencia laboral y/o a los factores de riesgo psicosocial (FRPS)?</v>
      </c>
      <c r="AG8">
        <v>6</v>
      </c>
      <c r="AH8" t="str">
        <v>05) Se ha canalizado la atención clínica, los exámenes médicos y las evaluaciones psicológicas a los trabajadores expuestos a violencia laboral y/o a los factores de riesgo psicosocial (FRPS)?</v>
      </c>
    </row>
    <row r="9" spans="1:34" x14ac:dyDescent="0.3">
      <c r="A9">
        <v>7</v>
      </c>
      <c r="B9" t="s">
        <v>24</v>
      </c>
      <c r="K9">
        <v>3</v>
      </c>
      <c r="L9" t="s">
        <v>75</v>
      </c>
      <c r="M9">
        <v>80</v>
      </c>
      <c r="N9">
        <v>150</v>
      </c>
      <c r="O9" t="str">
        <f>VLOOKUP(Tabla6[[#This Row],[NvEmpresa]],catTpEmpresa[],2,0)&amp;"-"&amp;Tabla6[[#This Row],[Capacidad]]</f>
        <v>GRANDE-A</v>
      </c>
      <c r="P9" s="7">
        <v>0.3</v>
      </c>
      <c r="V9">
        <v>7</v>
      </c>
      <c r="W9" s="3">
        <v>5.7</v>
      </c>
      <c r="X9" t="s">
        <v>123</v>
      </c>
      <c r="Y9" s="3" t="s">
        <v>52</v>
      </c>
      <c r="Z9" s="4" t="s">
        <v>88</v>
      </c>
      <c r="AA9" t="s">
        <v>92</v>
      </c>
      <c r="AB9" s="2" t="s">
        <v>13</v>
      </c>
      <c r="AC9" s="2">
        <f>ISNUMBER(SEARCH(NvEmpresa,catObligacion[[#This Row],[Nv]]))+0</f>
        <v>1</v>
      </c>
      <c r="AD9" s="2">
        <f>IFERROR(catObligacion[[#This Row],[Aplica]]+AD8,1)</f>
        <v>6</v>
      </c>
      <c r="AE9" t="str">
        <f>IF(ISNUMBER(SEARCH(NvEmpresa,catObligacion[[#This Row],[Nv]])),TEXT(catObligacion[[#This Row],[No]],"00")&amp;") "&amp;catObligacion[[#This Row],[Obligación]],"")</f>
        <v>06) Se ha difundido y proporcionado información de los resultados de la identificación y análisis de los FRPS, la política de prevención, Las medidas adoptadas y las acciones de control?</v>
      </c>
      <c r="AG9">
        <v>7</v>
      </c>
      <c r="AH9" t="str">
        <v>06) Se ha difundido y proporcionado información de los resultados de la identificación y análisis de los FRPS, la política de prevención, Las medidas adoptadas y las acciones de control?</v>
      </c>
    </row>
    <row r="10" spans="1:34" x14ac:dyDescent="0.3">
      <c r="A10">
        <v>8</v>
      </c>
      <c r="B10" t="s">
        <v>25</v>
      </c>
      <c r="K10">
        <v>3</v>
      </c>
      <c r="L10" t="s">
        <v>78</v>
      </c>
      <c r="M10">
        <v>150</v>
      </c>
      <c r="N10">
        <v>300</v>
      </c>
      <c r="O10" t="str">
        <f>VLOOKUP(Tabla6[[#This Row],[NvEmpresa]],catTpEmpresa[],2,0)&amp;"-"&amp;Tabla6[[#This Row],[Capacidad]]</f>
        <v>GRANDE-AA</v>
      </c>
      <c r="P10" s="7">
        <v>0.4</v>
      </c>
      <c r="V10">
        <v>8</v>
      </c>
      <c r="W10" s="3">
        <v>5.8</v>
      </c>
      <c r="X10" t="s">
        <v>124</v>
      </c>
      <c r="Y10" s="3" t="s">
        <v>53</v>
      </c>
      <c r="Z10" s="4" t="s">
        <v>88</v>
      </c>
      <c r="AA10" t="s">
        <v>93</v>
      </c>
      <c r="AB10" s="2" t="s">
        <v>14</v>
      </c>
      <c r="AC10" s="2">
        <f>ISNUMBER(SEARCH(NvEmpresa,catObligacion[[#This Row],[Nv]]))+0</f>
        <v>1</v>
      </c>
      <c r="AD10" s="2">
        <f>IFERROR(catObligacion[[#This Row],[Aplica]]+AD9,1)</f>
        <v>7</v>
      </c>
      <c r="AE10" t="str">
        <f>IF(ISNUMBER(SEARCH(NvEmpresa,catObligacion[[#This Row],[Nv]])),TEXT(catObligacion[[#This Row],[No]],"00")&amp;") "&amp;catObligacion[[#This Row],[Obligación]],"")</f>
        <v>07) Se cuenta con un registro de los resultados de la identificación y análisis de los y la evaluación del Entorno Organizacional, las medidas de control adoptadas y los nombres de los trabajadores a los que se les practicaron los exámenes o evaluaciones clínicas?</v>
      </c>
      <c r="AG10">
        <v>8</v>
      </c>
      <c r="AH10" t="str">
        <v>07) Se cuenta con un registro de los resultados de la identificación y análisis de los y la evaluación del Entorno Organizacional, las medidas de control adoptadas y los nombres de los trabajadores a los que se les practicaron los exámenes o evaluaciones clínicas?</v>
      </c>
    </row>
    <row r="11" spans="1:34" x14ac:dyDescent="0.3">
      <c r="A11">
        <v>9</v>
      </c>
      <c r="B11" t="s">
        <v>26</v>
      </c>
      <c r="K11">
        <v>3</v>
      </c>
      <c r="L11" t="s">
        <v>79</v>
      </c>
      <c r="M11">
        <v>300</v>
      </c>
      <c r="N11">
        <v>1000</v>
      </c>
      <c r="O11" t="str">
        <f>VLOOKUP(Tabla6[[#This Row],[NvEmpresa]],catTpEmpresa[],2,0)&amp;"-"&amp;Tabla6[[#This Row],[Capacidad]]</f>
        <v>GRANDE-AAA</v>
      </c>
      <c r="P11" s="7">
        <v>0.5</v>
      </c>
      <c r="W11" s="3"/>
      <c r="Y11" s="3"/>
      <c r="AG11">
        <v>9</v>
      </c>
    </row>
    <row r="12" spans="1:34" x14ac:dyDescent="0.3">
      <c r="A12">
        <v>10</v>
      </c>
      <c r="B12" t="s">
        <v>27</v>
      </c>
      <c r="W12" s="3"/>
      <c r="Y12" s="3"/>
      <c r="AG12">
        <v>10</v>
      </c>
    </row>
    <row r="13" spans="1:34" x14ac:dyDescent="0.3">
      <c r="A13">
        <v>11</v>
      </c>
      <c r="B13" t="s">
        <v>28</v>
      </c>
      <c r="W13" s="3"/>
      <c r="Y13" s="3"/>
      <c r="AG13">
        <v>11</v>
      </c>
    </row>
    <row r="14" spans="1:34" x14ac:dyDescent="0.3">
      <c r="A14">
        <v>12</v>
      </c>
      <c r="B14" t="s">
        <v>29</v>
      </c>
      <c r="W14" s="3"/>
      <c r="Y14" s="3"/>
      <c r="AG14">
        <v>12</v>
      </c>
    </row>
    <row r="15" spans="1:34" x14ac:dyDescent="0.3">
      <c r="A15">
        <v>13</v>
      </c>
      <c r="B15" t="s">
        <v>30</v>
      </c>
      <c r="AG15">
        <v>13</v>
      </c>
    </row>
    <row r="16" spans="1:34" x14ac:dyDescent="0.3">
      <c r="A16">
        <v>14</v>
      </c>
      <c r="B16" t="s">
        <v>31</v>
      </c>
      <c r="AG16">
        <v>14</v>
      </c>
    </row>
    <row r="17" spans="1:33" x14ac:dyDescent="0.3">
      <c r="A17">
        <v>15</v>
      </c>
      <c r="B17" t="s">
        <v>32</v>
      </c>
      <c r="W17" s="3"/>
      <c r="Y17" s="3"/>
      <c r="AG17">
        <v>15</v>
      </c>
    </row>
    <row r="18" spans="1:33" x14ac:dyDescent="0.3">
      <c r="A18">
        <v>16</v>
      </c>
      <c r="B18" t="s">
        <v>126</v>
      </c>
      <c r="W18" s="3"/>
      <c r="Y18" s="3"/>
      <c r="AG18">
        <v>16</v>
      </c>
    </row>
    <row r="19" spans="1:33" x14ac:dyDescent="0.3">
      <c r="A19">
        <v>17</v>
      </c>
      <c r="B19" t="s">
        <v>33</v>
      </c>
      <c r="W19" s="3"/>
      <c r="Y19" s="3"/>
    </row>
    <row r="20" spans="1:33" x14ac:dyDescent="0.3">
      <c r="A20">
        <v>18</v>
      </c>
      <c r="B20" t="s">
        <v>34</v>
      </c>
    </row>
    <row r="21" spans="1:33" x14ac:dyDescent="0.3">
      <c r="A21">
        <v>19</v>
      </c>
      <c r="B21" t="s">
        <v>35</v>
      </c>
      <c r="W21" s="3"/>
      <c r="Y21" s="3"/>
    </row>
    <row r="22" spans="1:33" x14ac:dyDescent="0.3">
      <c r="A22">
        <v>20</v>
      </c>
      <c r="B22" t="s">
        <v>36</v>
      </c>
      <c r="W22" s="3"/>
      <c r="Y22" s="3"/>
    </row>
    <row r="23" spans="1:33" x14ac:dyDescent="0.3">
      <c r="A23">
        <v>21</v>
      </c>
      <c r="B23" t="s">
        <v>37</v>
      </c>
      <c r="W23" s="3"/>
      <c r="Y23" s="3"/>
    </row>
    <row r="24" spans="1:33" x14ac:dyDescent="0.3">
      <c r="A24">
        <v>22</v>
      </c>
      <c r="B24" t="s">
        <v>38</v>
      </c>
    </row>
    <row r="25" spans="1:33" x14ac:dyDescent="0.3">
      <c r="A25">
        <v>23</v>
      </c>
      <c r="B25" t="s">
        <v>39</v>
      </c>
      <c r="W25" s="3"/>
      <c r="Y25" s="3"/>
    </row>
    <row r="26" spans="1:33" x14ac:dyDescent="0.3">
      <c r="A26">
        <v>24</v>
      </c>
      <c r="B26" t="s">
        <v>40</v>
      </c>
      <c r="W26" s="3"/>
      <c r="Y26" s="3"/>
    </row>
    <row r="27" spans="1:33" x14ac:dyDescent="0.3">
      <c r="A27">
        <v>25</v>
      </c>
      <c r="B27" t="s">
        <v>41</v>
      </c>
      <c r="W27" s="3"/>
      <c r="Y27" s="3"/>
    </row>
    <row r="28" spans="1:33" x14ac:dyDescent="0.3">
      <c r="A28">
        <v>26</v>
      </c>
      <c r="B28" t="s">
        <v>42</v>
      </c>
    </row>
    <row r="29" spans="1:33" x14ac:dyDescent="0.3">
      <c r="A29">
        <v>27</v>
      </c>
      <c r="B29" t="s">
        <v>43</v>
      </c>
    </row>
    <row r="30" spans="1:33" x14ac:dyDescent="0.3">
      <c r="A30">
        <v>28</v>
      </c>
      <c r="B30" t="s">
        <v>44</v>
      </c>
    </row>
    <row r="31" spans="1:33" x14ac:dyDescent="0.3">
      <c r="A31">
        <v>29</v>
      </c>
      <c r="B31" t="s">
        <v>45</v>
      </c>
    </row>
    <row r="32" spans="1:33" x14ac:dyDescent="0.3">
      <c r="A32">
        <v>30</v>
      </c>
      <c r="B32" t="s">
        <v>128</v>
      </c>
    </row>
    <row r="33" spans="1:2" x14ac:dyDescent="0.3">
      <c r="A33">
        <v>31</v>
      </c>
      <c r="B33" t="s">
        <v>46</v>
      </c>
    </row>
    <row r="34" spans="1:2" x14ac:dyDescent="0.3">
      <c r="A34">
        <v>32</v>
      </c>
      <c r="B34" t="s">
        <v>47</v>
      </c>
    </row>
  </sheetData>
  <dataValidations count="1">
    <dataValidation type="list" allowBlank="1" showInputMessage="1" showErrorMessage="1" sqref="Y3:Y14 Y17:Y19 Y21:Y23 Y25:Y27" xr:uid="{2F89D3B0-9921-4D3D-852B-D27D60DFFE43}">
      <formula1>lstSeveridad</formula1>
    </dataValidation>
  </dataValidation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14C83-BFB9-457C-8D7F-8CA0A4BAF05E}">
  <dimension ref="A2:U28"/>
  <sheetViews>
    <sheetView showGridLines="0" tabSelected="1" workbookViewId="0">
      <selection activeCell="C7" sqref="C7:E7"/>
    </sheetView>
  </sheetViews>
  <sheetFormatPr baseColWidth="10" defaultRowHeight="14.4" x14ac:dyDescent="0.3"/>
  <cols>
    <col min="1" max="1" width="2.21875" style="19" customWidth="1"/>
    <col min="2" max="2" width="27.88671875" style="19" customWidth="1"/>
    <col min="3" max="3" width="26" style="19" customWidth="1"/>
    <col min="4" max="4" width="6.33203125" style="19" customWidth="1"/>
    <col min="5" max="5" width="31.21875" style="19" customWidth="1"/>
    <col min="6" max="6" width="13.33203125" style="19" customWidth="1"/>
    <col min="7" max="7" width="18.44140625" style="19" customWidth="1"/>
    <col min="8" max="8" width="16.5546875" style="19" customWidth="1"/>
    <col min="9" max="9" width="11.5546875" style="19"/>
    <col min="10" max="11" width="14.44140625" style="19" customWidth="1"/>
    <col min="12" max="12" width="11.5546875" style="19"/>
    <col min="13" max="13" width="14.6640625" style="19" customWidth="1"/>
    <col min="14" max="14" width="16.44140625" style="19" customWidth="1"/>
    <col min="15" max="15" width="16" style="19" customWidth="1"/>
    <col min="16" max="16384" width="11.5546875" style="19"/>
  </cols>
  <sheetData>
    <row r="2" spans="1:21" x14ac:dyDescent="0.3">
      <c r="C2" s="47" t="s">
        <v>130</v>
      </c>
      <c r="D2" s="48"/>
      <c r="E2" s="48"/>
    </row>
    <row r="3" spans="1:21" x14ac:dyDescent="0.3">
      <c r="C3" s="48"/>
      <c r="D3" s="48"/>
      <c r="E3" s="48"/>
    </row>
    <row r="4" spans="1:21" x14ac:dyDescent="0.3">
      <c r="C4" s="48"/>
      <c r="D4" s="48"/>
      <c r="E4" s="48"/>
    </row>
    <row r="5" spans="1:21" ht="16.8" customHeight="1" x14ac:dyDescent="0.3"/>
    <row r="6" spans="1:21" ht="6.6" customHeight="1" thickBot="1" x14ac:dyDescent="0.35"/>
    <row r="7" spans="1:21" ht="15" thickBot="1" x14ac:dyDescent="0.35">
      <c r="B7" s="27" t="s">
        <v>57</v>
      </c>
      <c r="C7" s="69" t="s">
        <v>129</v>
      </c>
      <c r="D7" s="70"/>
      <c r="E7" s="71"/>
    </row>
    <row r="8" spans="1:21" ht="5.4" customHeight="1" thickBot="1" x14ac:dyDescent="0.35">
      <c r="B8" s="28"/>
      <c r="D8" s="21"/>
    </row>
    <row r="9" spans="1:21" ht="15.6" customHeight="1" x14ac:dyDescent="0.3">
      <c r="B9" s="27" t="s">
        <v>17</v>
      </c>
      <c r="C9" s="37"/>
      <c r="D9" s="21"/>
      <c r="E9" s="27" t="s">
        <v>108</v>
      </c>
      <c r="F9" s="41">
        <v>3.5000000000000003E-2</v>
      </c>
      <c r="M9" s="29" t="s">
        <v>99</v>
      </c>
      <c r="N9" s="30">
        <f ca="1">TODAY()</f>
        <v>45974</v>
      </c>
      <c r="O9" s="31"/>
      <c r="P9" s="29" t="s">
        <v>50</v>
      </c>
      <c r="Q9" s="32">
        <f>MATCH(C11,catTpEmpresa[Trab Min],1)</f>
        <v>3</v>
      </c>
      <c r="R9" s="31"/>
      <c r="S9" s="31"/>
      <c r="T9" s="29" t="s">
        <v>86</v>
      </c>
      <c r="U9" s="33">
        <f>VLOOKUP(N12,Tabla6[[CveCap]:[FactorCEE]],2,0)+U12</f>
        <v>0.3</v>
      </c>
    </row>
    <row r="10" spans="1:21" ht="15.6" customHeight="1" x14ac:dyDescent="0.3">
      <c r="B10" s="27" t="s">
        <v>15</v>
      </c>
      <c r="C10" s="38"/>
      <c r="D10" s="22"/>
      <c r="E10" s="27" t="s">
        <v>109</v>
      </c>
      <c r="F10" s="42">
        <v>0.01</v>
      </c>
      <c r="M10" s="29" t="s">
        <v>16</v>
      </c>
      <c r="N10" s="34">
        <v>113.14</v>
      </c>
      <c r="O10" s="31"/>
      <c r="P10" s="29" t="s">
        <v>104</v>
      </c>
      <c r="Q10" s="35">
        <f>C12*1.4*12</f>
        <v>252000</v>
      </c>
      <c r="R10" s="31"/>
      <c r="S10" s="31"/>
      <c r="T10" s="29" t="s">
        <v>100</v>
      </c>
      <c r="U10" s="35">
        <f>INDEX(Tabla6[CntMaxTrb],MATCH(N12,Tabla6[CveCap],0))</f>
        <v>150</v>
      </c>
    </row>
    <row r="11" spans="1:21" ht="15.6" customHeight="1" x14ac:dyDescent="0.3">
      <c r="B11" s="27" t="s">
        <v>113</v>
      </c>
      <c r="C11" s="39">
        <v>100</v>
      </c>
      <c r="D11" s="24"/>
      <c r="E11" s="27" t="s">
        <v>110</v>
      </c>
      <c r="F11" s="42">
        <v>0.01</v>
      </c>
      <c r="M11" s="29" t="s">
        <v>49</v>
      </c>
      <c r="N11" s="34" t="str">
        <f>VLOOKUP(Q9,catTpEmpresa[],2,0)</f>
        <v>GRANDE</v>
      </c>
      <c r="O11" s="31"/>
      <c r="P11" s="29" t="s">
        <v>105</v>
      </c>
      <c r="Q11" s="35">
        <f>Q10*1.2</f>
        <v>302400</v>
      </c>
      <c r="R11" s="31"/>
      <c r="S11" s="31"/>
      <c r="T11" s="29" t="s">
        <v>101</v>
      </c>
      <c r="U11" s="35">
        <f>MAX(C11-U10,0)</f>
        <v>0</v>
      </c>
    </row>
    <row r="12" spans="1:21" ht="15.6" customHeight="1" thickBot="1" x14ac:dyDescent="0.35">
      <c r="B12" s="27" t="s">
        <v>114</v>
      </c>
      <c r="C12" s="40">
        <v>15000</v>
      </c>
      <c r="D12" s="20"/>
      <c r="E12" s="27" t="s">
        <v>111</v>
      </c>
      <c r="F12" s="43">
        <v>0.02</v>
      </c>
      <c r="M12" s="29" t="s">
        <v>58</v>
      </c>
      <c r="N12" s="34" t="str">
        <f>VLOOKUP(C11,Tabla6[[CntMinTrb]:[CveCap]],3,1)</f>
        <v>GRANDE-A</v>
      </c>
      <c r="O12" s="31"/>
      <c r="P12" s="31"/>
      <c r="Q12" s="31"/>
      <c r="R12" s="31"/>
      <c r="S12" s="31"/>
      <c r="T12" s="26" t="s">
        <v>107</v>
      </c>
      <c r="U12" s="36">
        <f>4*(U11/U10)/100</f>
        <v>0</v>
      </c>
    </row>
    <row r="13" spans="1:21" ht="8.4" customHeight="1" thickBot="1" x14ac:dyDescent="0.35"/>
    <row r="14" spans="1:21" ht="29.4" thickBot="1" x14ac:dyDescent="0.35">
      <c r="A14" s="25"/>
      <c r="B14" s="76" t="s">
        <v>112</v>
      </c>
      <c r="C14" s="77"/>
      <c r="D14" s="77"/>
      <c r="E14" s="78"/>
      <c r="F14" s="8" t="s">
        <v>65</v>
      </c>
      <c r="G14" s="8" t="s">
        <v>73</v>
      </c>
      <c r="H14" s="8" t="s">
        <v>66</v>
      </c>
      <c r="I14" s="8" t="s">
        <v>51</v>
      </c>
      <c r="J14" s="8" t="s">
        <v>97</v>
      </c>
      <c r="K14" s="8" t="s">
        <v>72</v>
      </c>
      <c r="L14" s="8" t="s">
        <v>56</v>
      </c>
      <c r="M14" s="8" t="s">
        <v>98</v>
      </c>
      <c r="N14" s="8" t="s">
        <v>67</v>
      </c>
      <c r="O14" s="8" t="s">
        <v>68</v>
      </c>
      <c r="P14" s="9" t="s">
        <v>96</v>
      </c>
    </row>
    <row r="15" spans="1:21" s="23" customFormat="1" ht="51.6" customHeight="1" x14ac:dyDescent="0.3">
      <c r="A15" s="26">
        <f>PrimerLinea</f>
        <v>2</v>
      </c>
      <c r="B15" s="79" t="str">
        <f>IFERROR(IF(VLOOKUP(A15,CATÁLOGOS!$AG$3:$AH$18,2,0) &lt;&gt; 0, VLOOKUP(A15,CATÁLOGOS!$AG$3:$AH$18,2,0),""),"")</f>
        <v>01) Se cuenta con una política de prevención de riesgos psicosocial por escrito, y dicha política está difundida e implantada?</v>
      </c>
      <c r="C15" s="80"/>
      <c r="D15" s="80"/>
      <c r="E15" s="80"/>
      <c r="F15" s="44" t="s">
        <v>71</v>
      </c>
      <c r="G15" s="44" t="s">
        <v>71</v>
      </c>
      <c r="H15" s="44">
        <v>0</v>
      </c>
      <c r="I15" s="10" t="str">
        <f>IF(OR($B15="",$F15=""),"",IFERROR(INDEX(catObligacion[Severidad],MATCH($B15,catObligacion[Obligación2],0)),0))</f>
        <v>Media</v>
      </c>
      <c r="J15" s="10" t="str">
        <f>IF(OR($B15="",$F15=""),"",IFERROR(INDEX(catObligacion[Riesgo],MATCH($B15,catObligacion[Obligación2],0)),0))</f>
        <v>Indirecto</v>
      </c>
      <c r="K15" s="11">
        <f>IF(OR($B15="",$F15=""),"",IFERROR(VLOOKUP($I15,catSeveridad[],2,0),0))</f>
        <v>1200</v>
      </c>
      <c r="L15" s="11">
        <f>IF(OR($B15="",$F15=""),"",IFERROR(VLOOKUP($I15,catSeveridad[],3,0),0))</f>
        <v>300</v>
      </c>
      <c r="M15" s="11">
        <f t="shared" ref="M15:M21" si="0">IF(OR($B15="",$F15=""),"",IF(J15="Indirecto",0, IFERROR(H15*L15,0)))</f>
        <v>0</v>
      </c>
      <c r="N15" s="11">
        <f t="shared" ref="N15:N21" si="1">IF(OR($B15="",$F15=""),"",IF($F15="SÍ",IFERROR(L15+M15,0),0))</f>
        <v>0</v>
      </c>
      <c r="O15" s="11">
        <f t="shared" ref="O15:O21" si="2">IF(OR($B15="",$F15=""),"",IF($G15="SÍ",N15*2,N15))</f>
        <v>0</v>
      </c>
      <c r="P15" s="12">
        <f t="shared" ref="P15:P21" si="3">IF(OR($B15="",$F15=""),"",IFERROR(O15*$N$10,0))</f>
        <v>0</v>
      </c>
    </row>
    <row r="16" spans="1:21" s="23" customFormat="1" ht="51.6" customHeight="1" x14ac:dyDescent="0.3">
      <c r="A16" s="26">
        <f t="shared" ref="A16:A21" si="4">A15+1</f>
        <v>3</v>
      </c>
      <c r="B16" s="65" t="str">
        <f>IFERROR(IF(VLOOKUP(A16,CATÁLOGOS!$AG$3:$AH$18,2,0) &lt;&gt; 0, VLOOKUP(A16,CATÁLOGOS!$AG$3:$AH$18,2,0),""),"")</f>
        <v>02) Se ha aplicado la identificación y análisis de los factores de riesgo psicosocial (para empresas de más de 50 trabajadores)?</v>
      </c>
      <c r="C16" s="66"/>
      <c r="D16" s="66"/>
      <c r="E16" s="66"/>
      <c r="F16" s="45" t="s">
        <v>71</v>
      </c>
      <c r="G16" s="45" t="s">
        <v>71</v>
      </c>
      <c r="H16" s="45">
        <v>0</v>
      </c>
      <c r="I16" s="13" t="str">
        <f>IF(OR($B16="",$F16=""),"",IFERROR(INDEX(catObligacion[Severidad],MATCH($B16,catObligacion[Obligación2],0)),0))</f>
        <v>Alta</v>
      </c>
      <c r="J16" s="13" t="str">
        <f>IF(OR($B16="",$F16=""),"",IFERROR(INDEX(catObligacion[Riesgo],MATCH($B16,catObligacion[Obligación2],0)),0))</f>
        <v>Directo</v>
      </c>
      <c r="K16" s="14">
        <f>IF(OR($B16="",$F16=""),"",IFERROR(VLOOKUP($I16,catSeveridad[],2,0),0))</f>
        <v>2500</v>
      </c>
      <c r="L16" s="14">
        <f>IF(OR($B16="",$F16=""),"",IFERROR(VLOOKUP($I16,catSeveridad[],3,0),0))</f>
        <v>500</v>
      </c>
      <c r="M16" s="14">
        <f t="shared" si="0"/>
        <v>0</v>
      </c>
      <c r="N16" s="14">
        <f t="shared" si="1"/>
        <v>0</v>
      </c>
      <c r="O16" s="14">
        <f t="shared" si="2"/>
        <v>0</v>
      </c>
      <c r="P16" s="15">
        <f t="shared" si="3"/>
        <v>0</v>
      </c>
    </row>
    <row r="17" spans="1:16" s="23" customFormat="1" ht="51.6" customHeight="1" x14ac:dyDescent="0.3">
      <c r="A17" s="26">
        <f t="shared" si="4"/>
        <v>4</v>
      </c>
      <c r="B17" s="65" t="str">
        <f>IFERROR(IF(VLOOKUP(A17,CATÁLOGOS!$AG$3:$AH$18,2,0) &lt;&gt; 0, VLOOKUP(A17,CATÁLOGOS!$AG$3:$AH$18,2,0),""),"")</f>
        <v>03) Se han implementado medidas de prevención para mitigar los efectos dañidos y los riesgos psicosociales?</v>
      </c>
      <c r="C17" s="66"/>
      <c r="D17" s="66"/>
      <c r="E17" s="66"/>
      <c r="F17" s="45" t="s">
        <v>71</v>
      </c>
      <c r="G17" s="45" t="s">
        <v>71</v>
      </c>
      <c r="H17" s="45">
        <v>0</v>
      </c>
      <c r="I17" s="13" t="str">
        <f>IF(OR($B17="",$F17=""),"",IFERROR(INDEX(catObligacion[Severidad],MATCH($B17,catObligacion[Obligación2],0)),0))</f>
        <v>Alta</v>
      </c>
      <c r="J17" s="13" t="str">
        <f>IF(OR($B17="",$F17=""),"",IFERROR(INDEX(catObligacion[Riesgo],MATCH($B17,catObligacion[Obligación2],0)),0))</f>
        <v>Directo</v>
      </c>
      <c r="K17" s="14">
        <f>IF(OR($B17="",$F17=""),"",IFERROR(VLOOKUP($I17,catSeveridad[],2,0),0))</f>
        <v>2500</v>
      </c>
      <c r="L17" s="14">
        <f>IF(OR($B17="",$F17=""),"",IFERROR(VLOOKUP($I17,catSeveridad[],3,0),0))</f>
        <v>500</v>
      </c>
      <c r="M17" s="14">
        <f t="shared" si="0"/>
        <v>0</v>
      </c>
      <c r="N17" s="14">
        <f t="shared" si="1"/>
        <v>0</v>
      </c>
      <c r="O17" s="14">
        <f t="shared" si="2"/>
        <v>0</v>
      </c>
      <c r="P17" s="15">
        <f t="shared" si="3"/>
        <v>0</v>
      </c>
    </row>
    <row r="18" spans="1:16" s="23" customFormat="1" ht="51.6" customHeight="1" x14ac:dyDescent="0.3">
      <c r="A18" s="26">
        <f t="shared" si="4"/>
        <v>5</v>
      </c>
      <c r="B18" s="65" t="str">
        <f>IFERROR(IF(VLOOKUP(A18,CATÁLOGOS!$AG$3:$AH$18,2,0) &lt;&gt; 0, VLOOKUP(A18,CATÁLOGOS!$AG$3:$AH$18,2,0),""),"")</f>
        <v>04) Se ha emprendido la detección y análisis a los trabajadores que fueron sujetos a  Acontecimientos Traumáticos Severos (ATS)?</v>
      </c>
      <c r="C18" s="66"/>
      <c r="D18" s="66"/>
      <c r="E18" s="66"/>
      <c r="F18" s="45" t="s">
        <v>71</v>
      </c>
      <c r="G18" s="45" t="s">
        <v>71</v>
      </c>
      <c r="H18" s="45">
        <v>0</v>
      </c>
      <c r="I18" s="13" t="str">
        <f>IF(OR($B18="",$F18=""),"",IFERROR(INDEX(catObligacion[Severidad],MATCH($B18,catObligacion[Obligación2],0)),0))</f>
        <v>Grave</v>
      </c>
      <c r="J18" s="13" t="str">
        <f>IF(OR($B18="",$F18=""),"",IFERROR(INDEX(catObligacion[Riesgo],MATCH($B18,catObligacion[Obligación2],0)),0))</f>
        <v>Directo</v>
      </c>
      <c r="K18" s="14">
        <f>IF(OR($B18="",$F18=""),"",IFERROR(VLOOKUP($I18,catSeveridad[],2,0),0))</f>
        <v>5000</v>
      </c>
      <c r="L18" s="14">
        <f>IF(OR($B18="",$F18=""),"",IFERROR(VLOOKUP($I18,catSeveridad[],3,0),0))</f>
        <v>1000</v>
      </c>
      <c r="M18" s="14">
        <f t="shared" si="0"/>
        <v>0</v>
      </c>
      <c r="N18" s="14">
        <f t="shared" si="1"/>
        <v>0</v>
      </c>
      <c r="O18" s="14">
        <f t="shared" si="2"/>
        <v>0</v>
      </c>
      <c r="P18" s="15">
        <f t="shared" si="3"/>
        <v>0</v>
      </c>
    </row>
    <row r="19" spans="1:16" s="23" customFormat="1" ht="51.6" customHeight="1" x14ac:dyDescent="0.3">
      <c r="A19" s="26">
        <f t="shared" si="4"/>
        <v>6</v>
      </c>
      <c r="B19" s="65" t="str">
        <f>IFERROR(IF(VLOOKUP(A19,CATÁLOGOS!$AG$3:$AH$18,2,0) &lt;&gt; 0, VLOOKUP(A19,CATÁLOGOS!$AG$3:$AH$18,2,0),""),"")</f>
        <v>05) Se ha canalizado la atención clínica, los exámenes médicos y las evaluaciones psicológicas a los trabajadores expuestos a violencia laboral y/o a los factores de riesgo psicosocial (FRPS)?</v>
      </c>
      <c r="C19" s="66"/>
      <c r="D19" s="66"/>
      <c r="E19" s="66"/>
      <c r="F19" s="45" t="s">
        <v>71</v>
      </c>
      <c r="G19" s="45" t="s">
        <v>71</v>
      </c>
      <c r="H19" s="45">
        <v>0</v>
      </c>
      <c r="I19" s="13" t="str">
        <f>IF(OR($B19="",$F19=""),"",IFERROR(INDEX(catObligacion[Severidad],MATCH($B19,catObligacion[Obligación2],0)),0))</f>
        <v>Media</v>
      </c>
      <c r="J19" s="13" t="str">
        <f>IF(OR($B19="",$F19=""),"",IFERROR(INDEX(catObligacion[Riesgo],MATCH($B19,catObligacion[Obligación2],0)),0))</f>
        <v>Indirecto</v>
      </c>
      <c r="K19" s="14">
        <f>IF(OR($B19="",$F19=""),"",IFERROR(VLOOKUP($I19,catSeveridad[],2,0),0))</f>
        <v>1200</v>
      </c>
      <c r="L19" s="14">
        <f>IF(OR($B19="",$F19=""),"",IFERROR(VLOOKUP($I19,catSeveridad[],3,0),0))</f>
        <v>300</v>
      </c>
      <c r="M19" s="14">
        <f t="shared" si="0"/>
        <v>0</v>
      </c>
      <c r="N19" s="14">
        <f t="shared" si="1"/>
        <v>0</v>
      </c>
      <c r="O19" s="14">
        <f t="shared" si="2"/>
        <v>0</v>
      </c>
      <c r="P19" s="15">
        <f t="shared" si="3"/>
        <v>0</v>
      </c>
    </row>
    <row r="20" spans="1:16" s="23" customFormat="1" ht="51.6" customHeight="1" x14ac:dyDescent="0.3">
      <c r="A20" s="26">
        <f t="shared" si="4"/>
        <v>7</v>
      </c>
      <c r="B20" s="65" t="str">
        <f>IFERROR(IF(VLOOKUP(A20,CATÁLOGOS!$AG$3:$AH$18,2,0) &lt;&gt; 0, VLOOKUP(A20,CATÁLOGOS!$AG$3:$AH$18,2,0),""),"")</f>
        <v>06) Se ha difundido y proporcionado información de los resultados de la identificación y análisis de los FRPS, la política de prevención, Las medidas adoptadas y las acciones de control?</v>
      </c>
      <c r="C20" s="66"/>
      <c r="D20" s="66"/>
      <c r="E20" s="66"/>
      <c r="F20" s="45" t="s">
        <v>71</v>
      </c>
      <c r="G20" s="45" t="s">
        <v>71</v>
      </c>
      <c r="H20" s="45">
        <v>0</v>
      </c>
      <c r="I20" s="13" t="str">
        <f>IF(OR($B20="",$F20=""),"",IFERROR(INDEX(catObligacion[Severidad],MATCH($B20,catObligacion[Obligación2],0)),0))</f>
        <v>Leve</v>
      </c>
      <c r="J20" s="13" t="str">
        <f>IF(OR($B20="",$F20=""),"",IFERROR(INDEX(catObligacion[Riesgo],MATCH($B20,catObligacion[Obligación2],0)),0))</f>
        <v>Indirecto</v>
      </c>
      <c r="K20" s="14">
        <f>IF(OR($B20="",$F20=""),"",IFERROR(VLOOKUP($I20,catSeveridad[],2,0),0))</f>
        <v>250</v>
      </c>
      <c r="L20" s="14">
        <f>IF(OR($B20="",$F20=""),"",IFERROR(VLOOKUP($I20,catSeveridad[],3,0),0))</f>
        <v>250</v>
      </c>
      <c r="M20" s="14">
        <f t="shared" si="0"/>
        <v>0</v>
      </c>
      <c r="N20" s="14">
        <f t="shared" si="1"/>
        <v>0</v>
      </c>
      <c r="O20" s="14">
        <f t="shared" si="2"/>
        <v>0</v>
      </c>
      <c r="P20" s="15">
        <f t="shared" si="3"/>
        <v>0</v>
      </c>
    </row>
    <row r="21" spans="1:16" s="23" customFormat="1" ht="51.6" customHeight="1" thickBot="1" x14ac:dyDescent="0.35">
      <c r="A21" s="26">
        <f t="shared" si="4"/>
        <v>8</v>
      </c>
      <c r="B21" s="67" t="str">
        <f>IFERROR(IF(VLOOKUP(A21,CATÁLOGOS!$AG$3:$AH$18,2,0) &lt;&gt; 0, VLOOKUP(A21,CATÁLOGOS!$AG$3:$AH$18,2,0),""),"")</f>
        <v>07) Se cuenta con un registro de los resultados de la identificación y análisis de los y la evaluación del Entorno Organizacional, las medidas de control adoptadas y los nombres de los trabajadores a los que se les practicaron los exámenes o evaluaciones clínicas?</v>
      </c>
      <c r="C21" s="68"/>
      <c r="D21" s="68"/>
      <c r="E21" s="68"/>
      <c r="F21" s="46" t="s">
        <v>71</v>
      </c>
      <c r="G21" s="46" t="s">
        <v>71</v>
      </c>
      <c r="H21" s="46">
        <v>0</v>
      </c>
      <c r="I21" s="16">
        <f>IF(OR($B21="",$F21=""),"",IFERROR(INDEX(catObligacion[Severidad],MATCH($B21,catObligacion[Obligación2],0)),0))</f>
        <v>0</v>
      </c>
      <c r="J21" s="16">
        <f>IF(OR($B21="",$F21=""),"",IFERROR(INDEX(catObligacion[Riesgo],MATCH($B21,catObligacion[Obligación2],0)),0))</f>
        <v>0</v>
      </c>
      <c r="K21" s="17">
        <f>IF(OR($B21="",$F21=""),"",IFERROR(VLOOKUP($I21,catSeveridad[],2,0),0))</f>
        <v>0</v>
      </c>
      <c r="L21" s="17">
        <f>IF(OR($B21="",$F21=""),"",IFERROR(VLOOKUP($I21,catSeveridad[],3,0),0))</f>
        <v>0</v>
      </c>
      <c r="M21" s="17">
        <f t="shared" si="0"/>
        <v>0</v>
      </c>
      <c r="N21" s="17">
        <f t="shared" si="1"/>
        <v>0</v>
      </c>
      <c r="O21" s="17">
        <f t="shared" si="2"/>
        <v>0</v>
      </c>
      <c r="P21" s="18">
        <f t="shared" si="3"/>
        <v>0</v>
      </c>
    </row>
    <row r="22" spans="1:16" ht="15" thickBot="1" x14ac:dyDescent="0.35"/>
    <row r="23" spans="1:16" ht="21.6" thickBot="1" x14ac:dyDescent="0.35">
      <c r="B23" s="72" t="s">
        <v>116</v>
      </c>
      <c r="C23" s="73"/>
      <c r="D23" s="73"/>
      <c r="E23" s="73"/>
      <c r="F23" s="55">
        <f>SUM(P15:P21)*(1+U9)</f>
        <v>0</v>
      </c>
      <c r="G23" s="56"/>
    </row>
    <row r="24" spans="1:16" ht="21" x14ac:dyDescent="0.3">
      <c r="B24" s="74" t="s">
        <v>102</v>
      </c>
      <c r="C24" s="75"/>
      <c r="D24" s="75"/>
      <c r="E24" s="75"/>
      <c r="F24" s="57">
        <f>CntTrabajadores*Q11*IndRotacionAnual</f>
        <v>1058400</v>
      </c>
      <c r="G24" s="58"/>
    </row>
    <row r="25" spans="1:16" ht="21" x14ac:dyDescent="0.3">
      <c r="B25" s="49" t="s">
        <v>106</v>
      </c>
      <c r="C25" s="50"/>
      <c r="D25" s="50"/>
      <c r="E25" s="50"/>
      <c r="F25" s="59">
        <f>CntTrabajadores*SalarioPromedio*IndAccidenteAnual*30</f>
        <v>450000</v>
      </c>
      <c r="G25" s="60"/>
    </row>
    <row r="26" spans="1:16" ht="21" x14ac:dyDescent="0.3">
      <c r="B26" s="49" t="s">
        <v>103</v>
      </c>
      <c r="C26" s="50"/>
      <c r="D26" s="50"/>
      <c r="E26" s="50"/>
      <c r="F26" s="59">
        <f>CntTrabajadores*SalarioPromedio*ImpactoClima*12</f>
        <v>180000</v>
      </c>
      <c r="G26" s="60"/>
    </row>
    <row r="27" spans="1:16" ht="21.6" thickBot="1" x14ac:dyDescent="0.35">
      <c r="B27" s="51" t="s">
        <v>115</v>
      </c>
      <c r="C27" s="52"/>
      <c r="D27" s="52"/>
      <c r="E27" s="52"/>
      <c r="F27" s="61">
        <f>CntTrabajadores*OtrosCostosInd*Q10</f>
        <v>504000</v>
      </c>
      <c r="G27" s="62"/>
    </row>
    <row r="28" spans="1:16" ht="21.6" thickBot="1" x14ac:dyDescent="0.35">
      <c r="B28" s="53" t="s">
        <v>125</v>
      </c>
      <c r="C28" s="54"/>
      <c r="D28" s="54"/>
      <c r="E28" s="54"/>
      <c r="F28" s="63">
        <f>SUM(F24:F27) + F23/2</f>
        <v>2192400</v>
      </c>
      <c r="G28" s="64"/>
    </row>
  </sheetData>
  <sheetProtection algorithmName="SHA-512" hashValue="yMMkjQH3+k2q5N4q1LLkM+W6cetRFvjYYzlG71dvPDBCJSNKIkhfFlxtNughCa6j/37caDLZsmyrglpoIR4/QA==" saltValue="eT0gZZhk5MO3MTCIx/iltQ==" spinCount="100000" sheet="1" selectLockedCells="1"/>
  <mergeCells count="22">
    <mergeCell ref="F28:G28"/>
    <mergeCell ref="B20:E20"/>
    <mergeCell ref="B21:E21"/>
    <mergeCell ref="C7:E7"/>
    <mergeCell ref="B23:E23"/>
    <mergeCell ref="B24:E24"/>
    <mergeCell ref="B14:E14"/>
    <mergeCell ref="B15:E15"/>
    <mergeCell ref="B16:E16"/>
    <mergeCell ref="B17:E17"/>
    <mergeCell ref="B18:E18"/>
    <mergeCell ref="B19:E19"/>
    <mergeCell ref="F23:G23"/>
    <mergeCell ref="F24:G24"/>
    <mergeCell ref="F25:G25"/>
    <mergeCell ref="F26:G26"/>
    <mergeCell ref="F27:G27"/>
    <mergeCell ref="C2:E4"/>
    <mergeCell ref="B25:E25"/>
    <mergeCell ref="B26:E26"/>
    <mergeCell ref="B27:E27"/>
    <mergeCell ref="B28:E28"/>
  </mergeCells>
  <conditionalFormatting sqref="F15:H21">
    <cfRule type="expression" dxfId="2" priority="2">
      <formula>$B15=""</formula>
    </cfRule>
  </conditionalFormatting>
  <conditionalFormatting sqref="H15:H21">
    <cfRule type="expression" dxfId="1" priority="3">
      <formula>$J15="Indirecto"</formula>
    </cfRule>
    <cfRule type="expression" dxfId="0" priority="1">
      <formula>$J15="Indirecto"</formula>
    </cfRule>
  </conditionalFormatting>
  <dataValidations count="4">
    <dataValidation type="list" allowBlank="1" showInputMessage="1" showErrorMessage="1" errorTitle="Error" error="Solo se aceptan los valores SÍ y NO" sqref="F15:G21" xr:uid="{DCF0EA26-F51A-41B5-9F3C-15B782E983EF}">
      <formula1>lstCUMP</formula1>
    </dataValidation>
    <dataValidation type="list" allowBlank="1" showInputMessage="1" showErrorMessage="1" sqref="D8 C10" xr:uid="{539CB783-4797-4B0C-BC04-A4930E073683}">
      <formula1>lstEstados</formula1>
    </dataValidation>
    <dataValidation type="whole" operator="greaterThan" allowBlank="1" showInputMessage="1" showErrorMessage="1" sqref="D10 C11" xr:uid="{DE739FC1-1494-43E6-8993-0886C1EFD59B}">
      <formula1>0</formula1>
    </dataValidation>
    <dataValidation type="whole" allowBlank="1" showInputMessage="1" showErrorMessage="1" errorTitle="Error" error="Debe ser un número entero entre 0 y la cantidad total de trabajadores del centro de trabajo" promptTitle="Cantidad de Trabajadores" prompt="Capture la cantidad de trabajadores que directamente se vieron afectados por el NO cumplimiento de la obligación" sqref="H15:H21" xr:uid="{17A123E2-02BD-423C-9C46-ABB3DBA0D809}">
      <formula1>0</formula1>
      <formula2>$C$11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12</vt:i4>
      </vt:variant>
    </vt:vector>
  </HeadingPairs>
  <TitlesOfParts>
    <vt:vector size="14" baseType="lpstr">
      <vt:lpstr>CATÁLOGOS</vt:lpstr>
      <vt:lpstr>CALCULADORA</vt:lpstr>
      <vt:lpstr>CntObl</vt:lpstr>
      <vt:lpstr>CntTrabajadores</vt:lpstr>
      <vt:lpstr>ImpactoClima</vt:lpstr>
      <vt:lpstr>IndAccidenteAnual</vt:lpstr>
      <vt:lpstr>IndRotacionAnual</vt:lpstr>
      <vt:lpstr>lstCUMP</vt:lpstr>
      <vt:lpstr>lstEstados</vt:lpstr>
      <vt:lpstr>lstSeveridad</vt:lpstr>
      <vt:lpstr>NvEmpresa</vt:lpstr>
      <vt:lpstr>OtrosCostosInd</vt:lpstr>
      <vt:lpstr>PrimerLinea</vt:lpstr>
      <vt:lpstr>SalarioPromedio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 Perdomo Rivera</dc:creator>
  <cp:lastModifiedBy>Jorge  Perdomo Rivera</cp:lastModifiedBy>
  <dcterms:created xsi:type="dcterms:W3CDTF">2025-11-09T20:38:35Z</dcterms:created>
  <dcterms:modified xsi:type="dcterms:W3CDTF">2025-11-13T22:17:31Z</dcterms:modified>
</cp:coreProperties>
</file>